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5" yWindow="45" windowWidth="22425" windowHeight="12705"/>
  </bookViews>
  <sheets>
    <sheet name="eelarve täitmine" sheetId="2" r:id="rId1"/>
    <sheet name="investeeringud" sheetId="1" r:id="rId2"/>
  </sheets>
  <definedNames>
    <definedName name="_xlnm._FilterDatabase" localSheetId="1" hidden="1">investeeringud!$A$3:$I$3</definedName>
  </definedNames>
  <calcPr calcId="125725"/>
</workbook>
</file>

<file path=xl/calcChain.xml><?xml version="1.0" encoding="utf-8"?>
<calcChain xmlns="http://schemas.openxmlformats.org/spreadsheetml/2006/main">
  <c r="I59" i="2"/>
  <c r="I81"/>
  <c r="I80"/>
  <c r="I79"/>
  <c r="I77"/>
  <c r="I76"/>
  <c r="I75"/>
  <c r="I73"/>
  <c r="I72"/>
  <c r="I71"/>
  <c r="I70"/>
  <c r="I69"/>
  <c r="I68"/>
  <c r="I67"/>
  <c r="I66"/>
  <c r="I65"/>
  <c r="I64"/>
  <c r="I63"/>
  <c r="I62"/>
  <c r="I60"/>
  <c r="I57"/>
  <c r="I56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6"/>
  <c r="I15"/>
  <c r="I14"/>
  <c r="I13"/>
  <c r="I12"/>
  <c r="I11"/>
  <c r="I10"/>
  <c r="I9"/>
  <c r="I8"/>
  <c r="I7"/>
  <c r="I6"/>
  <c r="I5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I84" i="1"/>
  <c r="D24" i="2"/>
  <c r="D22" s="1"/>
  <c r="E24"/>
  <c r="F81"/>
  <c r="F80"/>
  <c r="F79"/>
  <c r="F77"/>
  <c r="F76"/>
  <c r="F75"/>
  <c r="F73"/>
  <c r="E72"/>
  <c r="D72"/>
  <c r="F72" s="1"/>
  <c r="F66"/>
  <c r="F64"/>
  <c r="F60"/>
  <c r="E56"/>
  <c r="F57"/>
  <c r="F53"/>
  <c r="E52"/>
  <c r="F47"/>
  <c r="F45"/>
  <c r="F44"/>
  <c r="F43"/>
  <c r="F42"/>
  <c r="F41"/>
  <c r="E31"/>
  <c r="D31"/>
  <c r="F36"/>
  <c r="F34"/>
  <c r="E32"/>
  <c r="D32"/>
  <c r="E30"/>
  <c r="D30"/>
  <c r="F19"/>
  <c r="E17"/>
  <c r="F17" s="1"/>
  <c r="D17"/>
  <c r="F15"/>
  <c r="E13"/>
  <c r="D13"/>
  <c r="F11"/>
  <c r="F9"/>
  <c r="F7"/>
  <c r="D6"/>
  <c r="I180" i="1"/>
  <c r="I81"/>
  <c r="I69"/>
  <c r="G88"/>
  <c r="H88"/>
  <c r="F88"/>
  <c r="I89"/>
  <c r="H84"/>
  <c r="H166"/>
  <c r="H129"/>
  <c r="I183"/>
  <c r="H163"/>
  <c r="H119"/>
  <c r="I153"/>
  <c r="I152"/>
  <c r="F98"/>
  <c r="I91"/>
  <c r="I118"/>
  <c r="H124"/>
  <c r="F110"/>
  <c r="G181"/>
  <c r="H181"/>
  <c r="F181"/>
  <c r="I117"/>
  <c r="H110"/>
  <c r="G110"/>
  <c r="I112"/>
  <c r="I113"/>
  <c r="F32" i="2" l="1"/>
  <c r="F49"/>
  <c r="F38"/>
  <c r="D5"/>
  <c r="F26"/>
  <c r="E6"/>
  <c r="E5" s="1"/>
  <c r="F21"/>
  <c r="F13"/>
  <c r="F40"/>
  <c r="F65"/>
  <c r="F46"/>
  <c r="F48"/>
  <c r="F59"/>
  <c r="D62"/>
  <c r="F69"/>
  <c r="F70"/>
  <c r="F68"/>
  <c r="F24"/>
  <c r="E51"/>
  <c r="D52"/>
  <c r="D56"/>
  <c r="F63"/>
  <c r="F67"/>
  <c r="F71"/>
  <c r="F6"/>
  <c r="F8"/>
  <c r="F10"/>
  <c r="F12"/>
  <c r="F14"/>
  <c r="F16"/>
  <c r="F20"/>
  <c r="F27"/>
  <c r="F33"/>
  <c r="F35"/>
  <c r="F37"/>
  <c r="F39"/>
  <c r="F5"/>
  <c r="E22"/>
  <c r="F25"/>
  <c r="F28"/>
  <c r="D29"/>
  <c r="D50" s="1"/>
  <c r="F31"/>
  <c r="E62"/>
  <c r="F23"/>
  <c r="F11" i="1"/>
  <c r="F6"/>
  <c r="G6"/>
  <c r="H6"/>
  <c r="I12"/>
  <c r="F109"/>
  <c r="I126"/>
  <c r="G127"/>
  <c r="I127" s="1"/>
  <c r="F127"/>
  <c r="G114"/>
  <c r="H114"/>
  <c r="F143"/>
  <c r="F142"/>
  <c r="F145"/>
  <c r="G177"/>
  <c r="I177" s="1"/>
  <c r="H177"/>
  <c r="F177"/>
  <c r="F173"/>
  <c r="F166"/>
  <c r="F159"/>
  <c r="F158"/>
  <c r="F157"/>
  <c r="H155"/>
  <c r="F152"/>
  <c r="F151"/>
  <c r="F150"/>
  <c r="F144"/>
  <c r="F146"/>
  <c r="F141"/>
  <c r="F139"/>
  <c r="F140"/>
  <c r="I165"/>
  <c r="F72"/>
  <c r="G63"/>
  <c r="H63"/>
  <c r="G82"/>
  <c r="H82"/>
  <c r="G97"/>
  <c r="H97"/>
  <c r="F97"/>
  <c r="F85"/>
  <c r="H66"/>
  <c r="G66"/>
  <c r="F66"/>
  <c r="F42"/>
  <c r="H33"/>
  <c r="G33"/>
  <c r="F33"/>
  <c r="F61"/>
  <c r="F55"/>
  <c r="F96"/>
  <c r="F95"/>
  <c r="I78"/>
  <c r="F77"/>
  <c r="F71"/>
  <c r="F24"/>
  <c r="I29"/>
  <c r="I147"/>
  <c r="I148"/>
  <c r="H75"/>
  <c r="H149"/>
  <c r="I146"/>
  <c r="H122"/>
  <c r="F56"/>
  <c r="G129"/>
  <c r="H73"/>
  <c r="I145"/>
  <c r="I139"/>
  <c r="H54"/>
  <c r="I116"/>
  <c r="I107"/>
  <c r="I26"/>
  <c r="I179"/>
  <c r="I182"/>
  <c r="I131"/>
  <c r="I133"/>
  <c r="H42"/>
  <c r="G42"/>
  <c r="H167"/>
  <c r="H13"/>
  <c r="H11" s="1"/>
  <c r="F62" i="2" l="1"/>
  <c r="D51"/>
  <c r="F51" s="1"/>
  <c r="F56"/>
  <c r="F22"/>
  <c r="E29"/>
  <c r="F52"/>
  <c r="G81" i="1"/>
  <c r="I88"/>
  <c r="F81"/>
  <c r="H81"/>
  <c r="H109"/>
  <c r="I110"/>
  <c r="I111"/>
  <c r="H172"/>
  <c r="H184"/>
  <c r="H176" s="1"/>
  <c r="G184"/>
  <c r="G176" s="1"/>
  <c r="I181"/>
  <c r="F156"/>
  <c r="G135"/>
  <c r="H135"/>
  <c r="F137"/>
  <c r="F123"/>
  <c r="F120"/>
  <c r="H70"/>
  <c r="G105"/>
  <c r="H93"/>
  <c r="G84"/>
  <c r="I25"/>
  <c r="H8"/>
  <c r="H7"/>
  <c r="H5"/>
  <c r="H23"/>
  <c r="H22" s="1"/>
  <c r="F108"/>
  <c r="F87"/>
  <c r="F30"/>
  <c r="G167"/>
  <c r="I170"/>
  <c r="I169"/>
  <c r="F168"/>
  <c r="F167" s="1"/>
  <c r="G73"/>
  <c r="G20"/>
  <c r="I32"/>
  <c r="I33"/>
  <c r="G54"/>
  <c r="F174"/>
  <c r="G124"/>
  <c r="I121"/>
  <c r="G70"/>
  <c r="G93"/>
  <c r="I79"/>
  <c r="G75"/>
  <c r="I72"/>
  <c r="I86"/>
  <c r="I96"/>
  <c r="I27"/>
  <c r="I62"/>
  <c r="I65"/>
  <c r="I57"/>
  <c r="G58"/>
  <c r="F185"/>
  <c r="I185" s="1"/>
  <c r="E184"/>
  <c r="I178"/>
  <c r="E177"/>
  <c r="E176" s="1"/>
  <c r="I175"/>
  <c r="E172"/>
  <c r="E167"/>
  <c r="I166"/>
  <c r="G163"/>
  <c r="F164"/>
  <c r="E163"/>
  <c r="F162"/>
  <c r="I162" s="1"/>
  <c r="E161"/>
  <c r="F161" s="1"/>
  <c r="F160"/>
  <c r="I160" s="1"/>
  <c r="I159"/>
  <c r="I158"/>
  <c r="E157"/>
  <c r="F154"/>
  <c r="I154" s="1"/>
  <c r="I151"/>
  <c r="I150"/>
  <c r="G149"/>
  <c r="E149"/>
  <c r="I144"/>
  <c r="I143"/>
  <c r="I142"/>
  <c r="I141"/>
  <c r="I140"/>
  <c r="I138"/>
  <c r="I137"/>
  <c r="F136"/>
  <c r="I136" s="1"/>
  <c r="E135"/>
  <c r="F132"/>
  <c r="I132" s="1"/>
  <c r="F130"/>
  <c r="I130" s="1"/>
  <c r="E129"/>
  <c r="F126"/>
  <c r="F125"/>
  <c r="I125" s="1"/>
  <c r="E124"/>
  <c r="I123"/>
  <c r="G122"/>
  <c r="E122"/>
  <c r="F119"/>
  <c r="E119"/>
  <c r="F118"/>
  <c r="F115"/>
  <c r="I115" s="1"/>
  <c r="E114"/>
  <c r="I108"/>
  <c r="F106"/>
  <c r="I106" s="1"/>
  <c r="E105"/>
  <c r="E101"/>
  <c r="F101" s="1"/>
  <c r="I101" s="1"/>
  <c r="E100"/>
  <c r="F100" s="1"/>
  <c r="I100" s="1"/>
  <c r="F99"/>
  <c r="I99" s="1"/>
  <c r="I98"/>
  <c r="F94"/>
  <c r="I94" s="1"/>
  <c r="E93"/>
  <c r="I87"/>
  <c r="I85"/>
  <c r="E84"/>
  <c r="F83"/>
  <c r="E82"/>
  <c r="E81" s="1"/>
  <c r="F80"/>
  <c r="I80" s="1"/>
  <c r="I77"/>
  <c r="I76"/>
  <c r="E75"/>
  <c r="E74"/>
  <c r="F74" s="1"/>
  <c r="I74" s="1"/>
  <c r="E71"/>
  <c r="I71" s="1"/>
  <c r="I68"/>
  <c r="F67"/>
  <c r="I67" s="1"/>
  <c r="E66"/>
  <c r="F64"/>
  <c r="E63"/>
  <c r="F60"/>
  <c r="I60" s="1"/>
  <c r="F59"/>
  <c r="I59" s="1"/>
  <c r="E58"/>
  <c r="I56"/>
  <c r="I55"/>
  <c r="E54"/>
  <c r="I42"/>
  <c r="I31"/>
  <c r="I30"/>
  <c r="E24"/>
  <c r="F21"/>
  <c r="I21" s="1"/>
  <c r="E20"/>
  <c r="F18"/>
  <c r="F17"/>
  <c r="I17" s="1"/>
  <c r="F16"/>
  <c r="F15"/>
  <c r="F14"/>
  <c r="E13"/>
  <c r="E11" s="1"/>
  <c r="E8"/>
  <c r="G7"/>
  <c r="E7"/>
  <c r="E6"/>
  <c r="E5"/>
  <c r="E50" i="2" l="1"/>
  <c r="H134" i="1"/>
  <c r="I83"/>
  <c r="F82"/>
  <c r="I64"/>
  <c r="F63"/>
  <c r="G92"/>
  <c r="F172"/>
  <c r="H92"/>
  <c r="I97"/>
  <c r="F129"/>
  <c r="F135"/>
  <c r="H19"/>
  <c r="H4"/>
  <c r="F13"/>
  <c r="I168"/>
  <c r="I157"/>
  <c r="F8"/>
  <c r="G8"/>
  <c r="I63"/>
  <c r="E70"/>
  <c r="F75"/>
  <c r="I75" s="1"/>
  <c r="I82"/>
  <c r="F105"/>
  <c r="I105" s="1"/>
  <c r="I167"/>
  <c r="I174"/>
  <c r="I6"/>
  <c r="F20"/>
  <c r="I20" s="1"/>
  <c r="E109"/>
  <c r="I164"/>
  <c r="I173"/>
  <c r="I120"/>
  <c r="G119"/>
  <c r="G109" s="1"/>
  <c r="G5"/>
  <c r="F54"/>
  <c r="I54" s="1"/>
  <c r="F58"/>
  <c r="I58" s="1"/>
  <c r="F93"/>
  <c r="I93" s="1"/>
  <c r="E97"/>
  <c r="E92" s="1"/>
  <c r="F114"/>
  <c r="F122"/>
  <c r="F124"/>
  <c r="I124" s="1"/>
  <c r="I129"/>
  <c r="I135"/>
  <c r="F149"/>
  <c r="I149" s="1"/>
  <c r="I156"/>
  <c r="F163"/>
  <c r="I163" s="1"/>
  <c r="F184"/>
  <c r="F176" s="1"/>
  <c r="I122"/>
  <c r="F155"/>
  <c r="I15"/>
  <c r="I18"/>
  <c r="E4"/>
  <c r="I14"/>
  <c r="I16"/>
  <c r="I66"/>
  <c r="F23"/>
  <c r="F5"/>
  <c r="F73"/>
  <c r="I73" s="1"/>
  <c r="F7"/>
  <c r="I7" s="1"/>
  <c r="I24"/>
  <c r="I161"/>
  <c r="G13"/>
  <c r="G11" s="1"/>
  <c r="E23"/>
  <c r="E22" s="1"/>
  <c r="G23"/>
  <c r="G22" s="1"/>
  <c r="F70"/>
  <c r="I70" s="1"/>
  <c r="E73"/>
  <c r="F84"/>
  <c r="E155"/>
  <c r="E134" s="1"/>
  <c r="G155"/>
  <c r="G172"/>
  <c r="I172" l="1"/>
  <c r="I155"/>
  <c r="F22"/>
  <c r="I114"/>
  <c r="I109"/>
  <c r="F134"/>
  <c r="I8"/>
  <c r="G4"/>
  <c r="I184"/>
  <c r="I176"/>
  <c r="I119"/>
  <c r="F4"/>
  <c r="I23"/>
  <c r="I11"/>
  <c r="I13"/>
  <c r="G134"/>
  <c r="F92"/>
  <c r="E19"/>
  <c r="I5"/>
  <c r="I92" l="1"/>
  <c r="I4"/>
  <c r="I134"/>
  <c r="F19"/>
  <c r="I22"/>
  <c r="G19"/>
  <c r="I19" l="1"/>
</calcChain>
</file>

<file path=xl/comments1.xml><?xml version="1.0" encoding="utf-8"?>
<comments xmlns="http://schemas.openxmlformats.org/spreadsheetml/2006/main">
  <authors>
    <author>kerstis</author>
  </authors>
  <commentLis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<sst xmlns="http://schemas.openxmlformats.org/spreadsheetml/2006/main" count="587" uniqueCount="295">
  <si>
    <t>Kinnitatud</t>
  </si>
  <si>
    <t>Täps.e/a</t>
  </si>
  <si>
    <t>Investeerimistegevuse kulud  kokku</t>
  </si>
  <si>
    <t>Põhivara soetus</t>
  </si>
  <si>
    <t>PVS</t>
  </si>
  <si>
    <t>sh toetustest</t>
  </si>
  <si>
    <t>Põhivara soetuseks antav sihtfinantseerimine</t>
  </si>
  <si>
    <t>ASF</t>
  </si>
  <si>
    <t>Finantskulud</t>
  </si>
  <si>
    <t>FK</t>
  </si>
  <si>
    <t>RO</t>
  </si>
  <si>
    <t>Linna laenude teenindamine</t>
  </si>
  <si>
    <t>HO</t>
  </si>
  <si>
    <t>Riigi Kinnisvara ASile (H. Masingu Kooli ja J. Poska Gümnaasiumi) intressid</t>
  </si>
  <si>
    <t>LVO</t>
  </si>
  <si>
    <t>Linnavarade osakonna ametiauto liisingu intressid</t>
  </si>
  <si>
    <t>KO</t>
  </si>
  <si>
    <t>Raamatukogu väikebussi liisingu intressid</t>
  </si>
  <si>
    <t>Maarja kooli bussi liisingu intressid</t>
  </si>
  <si>
    <t>Majandus</t>
  </si>
  <si>
    <t>LPM</t>
  </si>
  <si>
    <t>Linnale vajaliku maa ost</t>
  </si>
  <si>
    <t xml:space="preserve">  Linna teed, tänavad ja sillad</t>
  </si>
  <si>
    <t>Tänavate rekonstrueerimine, ehitus</t>
  </si>
  <si>
    <t>LMO</t>
  </si>
  <si>
    <t xml:space="preserve">Tartu idapoolne ringtee </t>
  </si>
  <si>
    <t>PR</t>
  </si>
  <si>
    <t>Emajõe kaldakindlustuse rekonstrueerimine ja jõeäärsete teede korrastamine</t>
  </si>
  <si>
    <t>Kruusakattega tänavate asfalteerimine</t>
  </si>
  <si>
    <t>Ülekatted ja pindamised</t>
  </si>
  <si>
    <t>Kõnniteed</t>
  </si>
  <si>
    <t>Sildade rekonstrueerimine</t>
  </si>
  <si>
    <t>Sõpruse sild</t>
  </si>
  <si>
    <t>Kroonuaia sild</t>
  </si>
  <si>
    <t>Sadevee liitumistasu</t>
  </si>
  <si>
    <t>Infrastruktuuri arenduste kompensatsioonid</t>
  </si>
  <si>
    <t>Lõunakeskuse teed</t>
  </si>
  <si>
    <t>Oksa ja Ladva tänavad</t>
  </si>
  <si>
    <t>Kvissentali elamurajoon</t>
  </si>
  <si>
    <t>Koostöö võrguarendajatega</t>
  </si>
  <si>
    <t>Liikluskorraldus</t>
  </si>
  <si>
    <t>Osalemine projektis "Traffic"</t>
  </si>
  <si>
    <t>Projekt“Tartu ühistranspordi juhtimis- ja kontrollsüsteemi arendamine</t>
  </si>
  <si>
    <t xml:space="preserve">   Veetransport</t>
  </si>
  <si>
    <t>Sõpruse silla paadisadam</t>
  </si>
  <si>
    <t>EVO</t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</si>
  <si>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</si>
  <si>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</si>
  <si>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</si>
  <si>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</si>
  <si>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Tampere Maja (Jaani 4)</t>
  </si>
  <si>
    <t>Keskkonnakaitse</t>
  </si>
  <si>
    <t>Kortermajade jäätmemajanduse korrastamine</t>
  </si>
  <si>
    <t>Projekt“Green Man“</t>
  </si>
  <si>
    <t>Mänguväljaku rajamine</t>
  </si>
  <si>
    <t>Elamu ja kommunaalmajandus</t>
  </si>
  <si>
    <t xml:space="preserve">   Elamumajanduse arendamine</t>
  </si>
  <si>
    <t xml:space="preserve">Linnale kuuluvate korterite remont </t>
  </si>
  <si>
    <t>Korterite ost elanike ümberpaigutamiseks</t>
  </si>
  <si>
    <t xml:space="preserve">Linnale kuuluvate elamute remont </t>
  </si>
  <si>
    <t xml:space="preserve">   Tänavavalgustus</t>
  </si>
  <si>
    <t>Õhuliinide rekonstrueerimise ühisprojektid AS-ga Eesti Energia</t>
  </si>
  <si>
    <t>Olemasolevate valgustite asendamine  LED ja säästuseadmetega valgustitega</t>
  </si>
  <si>
    <t>Amortiseerunud telemeetriaseadmete väljavahetamine</t>
  </si>
  <si>
    <t>Ohtlike tänavavalgustusmastide vahetus</t>
  </si>
  <si>
    <t xml:space="preserve">  Muu elamu- ja kommunaaltegevus</t>
  </si>
  <si>
    <t>Rahumäe kalmistu kontorihoone katuse remont</t>
  </si>
  <si>
    <t>Asutusele Kalmistu liivapuisturi soetus</t>
  </si>
  <si>
    <t>Vabaaeg ja kultuur</t>
  </si>
  <si>
    <t xml:space="preserve">   Spordibaasid</t>
  </si>
  <si>
    <t>EMÜ spordihoone ehitamise toetus</t>
  </si>
  <si>
    <t>TÜ spordihoone renoveerimise toetus</t>
  </si>
  <si>
    <t>Tartu Loodusmaja (Lille 10)</t>
  </si>
  <si>
    <t xml:space="preserve">   Laste huvialamajad ja keskused</t>
  </si>
  <si>
    <t xml:space="preserve">Anne Noortekeskus (Uus 56) </t>
  </si>
  <si>
    <t>O. Lutsu Keskraaamtukogu (Kompanii 3/5)</t>
  </si>
  <si>
    <t xml:space="preserve">O. Lutsu Keskraaamtukogule dataprojektorite soetamine </t>
  </si>
  <si>
    <t xml:space="preserve">   Muinsuskaitse</t>
  </si>
  <si>
    <t>Toetus SAle Tartu Pauluse Kirik kiriku renoveerimiseks</t>
  </si>
  <si>
    <t>Restaureerimise toetused</t>
  </si>
  <si>
    <t>Haridus</t>
  </si>
  <si>
    <t xml:space="preserve">   Lasteaiad</t>
  </si>
  <si>
    <t>Eralasteaedade toetus</t>
  </si>
  <si>
    <t>Täiendavate rühmade rajamine</t>
  </si>
  <si>
    <t>Pr</t>
  </si>
  <si>
    <t>Lasteaed Kelluke (Kaunase pst 69)</t>
  </si>
  <si>
    <t>Lasteaed Meelespea (Ilmatsalu 24a)</t>
  </si>
  <si>
    <t>Lasteaed Ristikheina (Ropka tee 25)</t>
  </si>
  <si>
    <t>Lasteaed Rukkilill (Sepa 18)</t>
  </si>
  <si>
    <t xml:space="preserve">   Põhikoolid</t>
  </si>
  <si>
    <t>M. Reiniku Kool (Riia 25)</t>
  </si>
  <si>
    <t xml:space="preserve">M. Reiniku Kool (Vanemuise 48) </t>
  </si>
  <si>
    <t>Toetus EELK Tartu Peetri Kogudusele ajaloolise koolimaja taastamise projekteerimiseks</t>
  </si>
  <si>
    <t xml:space="preserve">    Gümnaasiumid</t>
  </si>
  <si>
    <t>Annelinna Gümnaasium (Kaunase pst 68)</t>
  </si>
  <si>
    <t>Descartes1i Lütseum (Anne 65)</t>
  </si>
  <si>
    <t>Kunstigümnaasium (Aianduse 4)</t>
  </si>
  <si>
    <t>Raatuse Gümnaasium (Raatuse 88a)</t>
  </si>
  <si>
    <t>Tamme Gümnaasium (Tamme pst 24a)</t>
  </si>
  <si>
    <t>Vene Lütseum (Uus 54)</t>
  </si>
  <si>
    <t>Miina Härma Gümnaasiumile koopiamasina soetus</t>
  </si>
  <si>
    <t>Nooruse 9 ost</t>
  </si>
  <si>
    <t>Nooruse 9 rekonstrueerimise projekteerimine ja remont</t>
  </si>
  <si>
    <t>Kutsehariduskeskus (Põllu 11)</t>
  </si>
  <si>
    <t xml:space="preserve">   Muu haridus </t>
  </si>
  <si>
    <t>Ettekirjutiste täitmine</t>
  </si>
  <si>
    <t>Haridusasutuste rekonstrueerimistööde projekteerimised</t>
  </si>
  <si>
    <t>CO2 objektide investeeringud</t>
  </si>
  <si>
    <t>Sotsiaalne kaitse</t>
  </si>
  <si>
    <t>SO</t>
  </si>
  <si>
    <t>Hooldekodule köögiseadmete soetus</t>
  </si>
  <si>
    <t xml:space="preserve">   Muu sotsiaalsete riskirühmade kaitse</t>
  </si>
  <si>
    <t>OÜ Anne Saun (Anne 44)</t>
  </si>
  <si>
    <t>Maa ostmine</t>
  </si>
  <si>
    <t>Küüni 2</t>
  </si>
  <si>
    <t>%</t>
  </si>
  <si>
    <t>Kutsehariduskeskus (Põllu 11) autoremondi töökoda</t>
  </si>
  <si>
    <t xml:space="preserve">Kutsehariduskeskus (omatulude arvelt) </t>
  </si>
  <si>
    <t>eurodes</t>
  </si>
  <si>
    <t xml:space="preserve"> Kulud objektide ja finantseerimisallikate lõikes</t>
  </si>
  <si>
    <t>TARTU LINNA 2013. INVESTEERIMISTEGEVUSE KULUD</t>
  </si>
  <si>
    <t>sihtfinantseerimisega projektid</t>
  </si>
  <si>
    <t xml:space="preserve">Täitmine
aasta algusest </t>
  </si>
  <si>
    <t>Asutusele Kalmistu kahe traktoriharja soetus</t>
  </si>
  <si>
    <t>Kolgata Baptistikoguduse laiendamise
projekteerimise toetus</t>
  </si>
  <si>
    <t>Lasteaed Pääsupesa (Sõpruse pst 21)</t>
  </si>
  <si>
    <t>Lasteaed Mõmmik (Mõisavahe 32)</t>
  </si>
  <si>
    <t>Lasteaed Piilupes (Ropka 34)</t>
  </si>
  <si>
    <t>Veeriku Kool (Veeriku 41)</t>
  </si>
  <si>
    <t>Hooldekodule põrandahooldusmasinate soetus</t>
  </si>
  <si>
    <t xml:space="preserve">   Laste ja noorte sotsiaalhoolekande asutused</t>
  </si>
  <si>
    <t xml:space="preserve">Laste Turvakodu (Tiigi 55) vee-ja kanalisatsioonitrassid </t>
  </si>
  <si>
    <t>Korteriühistu  Tähe 20 (linna osalus 2/3) katus</t>
  </si>
  <si>
    <t xml:space="preserve">   Ülikooli</t>
  </si>
  <si>
    <t xml:space="preserve">   Annelinna jalakäijate kiir</t>
  </si>
  <si>
    <t xml:space="preserve">   Ilmatsalu</t>
  </si>
  <si>
    <t xml:space="preserve">   Veeriku</t>
  </si>
  <si>
    <t xml:space="preserve">   FR.R.Kreutzwaldi</t>
  </si>
  <si>
    <t xml:space="preserve">   Nooruse </t>
  </si>
  <si>
    <t xml:space="preserve">   Jaama</t>
  </si>
  <si>
    <t xml:space="preserve">   Teguri/Tähe</t>
  </si>
  <si>
    <t xml:space="preserve">   Kannikese </t>
  </si>
  <si>
    <t xml:space="preserve">   Staadioni</t>
  </si>
  <si>
    <t xml:space="preserve">   Turu (Sepa-Ringtee)</t>
  </si>
  <si>
    <t xml:space="preserve">   Jaama (Paju-Raatuse)</t>
  </si>
  <si>
    <t xml:space="preserve">   Fr.R. Kreutzwaldi</t>
  </si>
  <si>
    <t xml:space="preserve">   Kastani (Võru-Riia)</t>
  </si>
  <si>
    <t xml:space="preserve">   Ravila</t>
  </si>
  <si>
    <t xml:space="preserve">   Mõisavahe</t>
  </si>
  <si>
    <t xml:space="preserve">   Aardla (Riia-Ringtee)</t>
  </si>
  <si>
    <t>SA Tartu Jaani Kirik</t>
  </si>
  <si>
    <t xml:space="preserve">   Puhkebaasid</t>
  </si>
  <si>
    <t>SA Tähtvere Puhkepark  laululava
pinkide remont</t>
  </si>
  <si>
    <t>Aardla 82 juurdepääsutee</t>
  </si>
  <si>
    <t>Tammede ümberistutamine (Tartu idap.ringt)</t>
  </si>
  <si>
    <t>Tartu Akadeemilne Tenniseklubi Toomeoru
tennisekeskuse renoveerimine</t>
  </si>
  <si>
    <t xml:space="preserve"> </t>
  </si>
  <si>
    <t>AEO</t>
  </si>
  <si>
    <t>Forseliuse Gümnaasium (Tähe 103)</t>
  </si>
  <si>
    <t>Kutsehariduskeskus  õppehooned+staadionihoone</t>
  </si>
  <si>
    <r>
      <t xml:space="preserve">   </t>
    </r>
    <r>
      <rPr>
        <b/>
        <i/>
        <sz val="10"/>
        <rFont val="Times New Roman"/>
        <family val="1"/>
        <charset val="186"/>
      </rPr>
      <t>Valitssusektori võla teenindamine</t>
    </r>
  </si>
  <si>
    <r>
      <t xml:space="preserve">   </t>
    </r>
    <r>
      <rPr>
        <b/>
        <i/>
        <sz val="10"/>
        <rFont val="Times New Roman"/>
        <family val="1"/>
        <charset val="186"/>
      </rPr>
      <t>Maakorraldus</t>
    </r>
  </si>
  <si>
    <r>
      <t xml:space="preserve">   </t>
    </r>
    <r>
      <rPr>
        <b/>
        <i/>
        <sz val="10"/>
        <rFont val="Times New Roman"/>
        <family val="1"/>
        <charset val="186"/>
      </rPr>
      <t>Transpordikorraldus</t>
    </r>
  </si>
  <si>
    <r>
      <t xml:space="preserve">   </t>
    </r>
    <r>
      <rPr>
        <b/>
        <i/>
        <sz val="10"/>
        <rFont val="Times New Roman"/>
        <family val="1"/>
        <charset val="186"/>
      </rPr>
      <t>Üldmajanduslikud arendusprojektid</t>
    </r>
  </si>
  <si>
    <r>
      <t xml:space="preserve">   </t>
    </r>
    <r>
      <rPr>
        <b/>
        <i/>
        <sz val="10"/>
        <rFont val="Times New Roman"/>
        <family val="1"/>
        <charset val="186"/>
      </rPr>
      <t>Jäätmekäitlus</t>
    </r>
  </si>
  <si>
    <r>
      <t xml:space="preserve">   </t>
    </r>
    <r>
      <rPr>
        <b/>
        <i/>
        <sz val="10"/>
        <rFont val="Times New Roman"/>
        <family val="1"/>
        <charset val="186"/>
      </rPr>
      <t>Haljastus</t>
    </r>
  </si>
  <si>
    <r>
      <t xml:space="preserve">   </t>
    </r>
    <r>
      <rPr>
        <b/>
        <i/>
        <sz val="10"/>
        <rFont val="Times New Roman"/>
        <family val="1"/>
        <charset val="186"/>
      </rPr>
      <t>Laste huvikoolid</t>
    </r>
  </si>
  <si>
    <r>
      <t xml:space="preserve">   </t>
    </r>
    <r>
      <rPr>
        <b/>
        <i/>
        <sz val="10"/>
        <rFont val="Times New Roman"/>
        <family val="1"/>
        <charset val="186"/>
      </rPr>
      <t>Raamatukogud</t>
    </r>
  </si>
  <si>
    <r>
      <t xml:space="preserve">   </t>
    </r>
    <r>
      <rPr>
        <b/>
        <i/>
        <sz val="10"/>
        <rFont val="Times New Roman"/>
        <family val="1"/>
        <charset val="186"/>
      </rPr>
      <t>Täiskasvanute Gümnaasium</t>
    </r>
  </si>
  <si>
    <r>
      <t xml:space="preserve">   </t>
    </r>
    <r>
      <rPr>
        <b/>
        <i/>
        <sz val="10"/>
        <rFont val="Times New Roman"/>
        <family val="1"/>
        <charset val="186"/>
      </rPr>
      <t>Kutseõppeasutused</t>
    </r>
  </si>
  <si>
    <r>
      <t xml:space="preserve">   </t>
    </r>
    <r>
      <rPr>
        <b/>
        <i/>
        <sz val="10"/>
        <rFont val="Times New Roman"/>
        <family val="1"/>
        <charset val="186"/>
      </rPr>
      <t>Eakate hoolekande asutused</t>
    </r>
  </si>
  <si>
    <t>Ihaste tee</t>
  </si>
  <si>
    <t>Võru tn 252 kinnistule bussijuhtide puhkepaviljoni püstitam</t>
  </si>
  <si>
    <t xml:space="preserve">   Muu keskkonnakaitse</t>
  </si>
  <si>
    <t>Projekt "Säästva ja jätkusuutliku harrastuskalapüügi arendamine Emajõel</t>
  </si>
  <si>
    <t>Projekteerimine</t>
  </si>
  <si>
    <t>Energiasäästlik tänavavalgustus</t>
  </si>
  <si>
    <t>Ventilatsioonide korrastamine lasteaedades</t>
  </si>
  <si>
    <t>Ventilatsioonisüsteemide korrastmine lasteaedade köökides</t>
  </si>
  <si>
    <t>Nooruse 9 rekonstrueerimise projekteerimine ja remont Tamme Gümnaasium</t>
  </si>
  <si>
    <t>Hooldekodule eriotstarbelise voodi soetus</t>
  </si>
  <si>
    <t>SA Tähtvere Puhkepark lumekahjurite soetus</t>
  </si>
  <si>
    <t>SA Tartu Sport Turu 8 vehklemissaali vehklemisrajad</t>
  </si>
  <si>
    <t>Rahva-ja kultuurimajad</t>
  </si>
  <si>
    <t>Tartu Kunstimaja katuse remont</t>
  </si>
  <si>
    <t>Infotehnoloogiaseadmete ja tarkvara soetus</t>
  </si>
  <si>
    <t>LV</t>
  </si>
  <si>
    <t>SA Tähtvere Puhkepark BMX raja remont</t>
  </si>
  <si>
    <t>Laste Turvakodu (Tiigi 55) pesumasina soetus</t>
  </si>
  <si>
    <t>Üldised valitsussektori teenused</t>
  </si>
  <si>
    <t>Emajõe põhja puhastamine</t>
  </si>
  <si>
    <t>Telemeetriaseadmete uuendamine</t>
  </si>
  <si>
    <t>Monoliitkai paigaldamine</t>
  </si>
  <si>
    <t>sh detsember</t>
  </si>
  <si>
    <t xml:space="preserve">seisuga 31. detsember  2013 </t>
  </si>
  <si>
    <t>Eelarve täitmise aruanne</t>
  </si>
  <si>
    <t>Tartu Linnavalitsus</t>
  </si>
  <si>
    <t>seisuga:</t>
  </si>
  <si>
    <t xml:space="preserve">Eelarve </t>
  </si>
  <si>
    <t>Täitmine</t>
  </si>
  <si>
    <t>Klassifikaator</t>
  </si>
  <si>
    <t>Kirje nimetus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</si>
  <si>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</si>
  <si>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</si>
  <si>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</si>
  <si>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</si>
  <si>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</si>
  <si>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</si>
  <si>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</si>
  <si>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</si>
  <si>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</si>
  <si>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</si>
  <si>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</si>
  <si>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</si>
  <si>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</si>
  <si>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</si>
  <si>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</si>
  <si>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</si>
  <si>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</si>
  <si>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</si>
  <si>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</si>
  <si>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</si>
  <si>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</si>
  <si>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</si>
  <si>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</si>
  <si>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</si>
  <si>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</si>
  <si>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</si>
  <si>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</si>
  <si>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</si>
  <si>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</si>
  <si>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</si>
  <si>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</si>
  <si>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</si>
  <si>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</si>
  <si>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</si>
  <si>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</si>
  <si>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</si>
  <si>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</si>
  <si>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</si>
  <si>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</si>
  <si>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</si>
  <si>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</si>
  <si>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</si>
  <si>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seadmete,sh.trp.vahendite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</si>
  <si>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</si>
  <si>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</si>
  <si>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</si>
  <si>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</si>
  <si>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</si>
  <si>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</si>
  <si>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</si>
  <si>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</si>
  <si>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</si>
  <si>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</si>
  <si>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</si>
  <si>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</si>
  <si>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</si>
  <si>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</si>
  <si>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</si>
  <si>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</si>
  <si>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</si>
  <si>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</si>
  <si>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</si>
  <si>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</si>
  <si>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</si>
  <si>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</si>
  <si>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</si>
  <si>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</si>
  <si>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</si>
  <si>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</si>
  <si>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</si>
  <si>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</si>
  <si>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</si>
  <si>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</si>
  <si>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</si>
  <si>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</si>
  <si>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</si>
  <si>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</si>
  <si>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</si>
  <si>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</si>
  <si>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</si>
  <si>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</si>
  <si>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</si>
  <si>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</si>
  <si>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</si>
  <si>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</si>
  <si>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</si>
  <si>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</si>
  <si>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</si>
  <si>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</si>
  <si>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</si>
  <si>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x</t>
  </si>
  <si>
    <t>kasv</t>
  </si>
  <si>
    <t>täitmine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</si>
</sst>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30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rgb="FFFF000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0"/>
      <name val="Arial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0" fontId="8" fillId="0" borderId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</cellStyleXfs>
  <cellXfs count="29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3" fontId="4" fillId="4" borderId="0" xfId="0" applyNumberFormat="1" applyFont="1" applyFill="1"/>
    <xf numFmtId="0" fontId="8" fillId="0" borderId="0" xfId="0" applyFont="1" applyFill="1"/>
    <xf numFmtId="4" fontId="4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9" fontId="0" fillId="0" borderId="0" xfId="2" applyFont="1"/>
    <xf numFmtId="3" fontId="11" fillId="0" borderId="0" xfId="0" applyNumberFormat="1" applyFont="1" applyFill="1"/>
    <xf numFmtId="0" fontId="11" fillId="0" borderId="0" xfId="0" applyFont="1" applyFill="1"/>
    <xf numFmtId="3" fontId="12" fillId="0" borderId="0" xfId="0" applyNumberFormat="1" applyFont="1" applyFill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7" fillId="0" borderId="1" xfId="0" applyNumberFormat="1" applyFont="1" applyFill="1" applyBorder="1"/>
    <xf numFmtId="3" fontId="7" fillId="4" borderId="1" xfId="0" applyNumberFormat="1" applyFont="1" applyFill="1" applyBorder="1"/>
    <xf numFmtId="165" fontId="7" fillId="4" borderId="1" xfId="0" applyNumberFormat="1" applyFont="1" applyFill="1" applyBorder="1"/>
    <xf numFmtId="3" fontId="13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49" fontId="8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3" fontId="13" fillId="2" borderId="1" xfId="0" applyNumberFormat="1" applyFont="1" applyFill="1" applyBorder="1"/>
    <xf numFmtId="3" fontId="13" fillId="4" borderId="1" xfId="0" applyNumberFormat="1" applyFont="1" applyFill="1" applyBorder="1"/>
    <xf numFmtId="165" fontId="8" fillId="4" borderId="1" xfId="0" applyNumberFormat="1" applyFont="1" applyFill="1" applyBorder="1"/>
    <xf numFmtId="49" fontId="8" fillId="3" borderId="1" xfId="0" applyNumberFormat="1" applyFont="1" applyFill="1" applyBorder="1" applyAlignment="1">
      <alignment wrapText="1"/>
    </xf>
    <xf numFmtId="3" fontId="8" fillId="3" borderId="1" xfId="0" applyNumberFormat="1" applyFont="1" applyFill="1" applyBorder="1"/>
    <xf numFmtId="165" fontId="8" fillId="3" borderId="1" xfId="0" applyNumberFormat="1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3" fontId="16" fillId="0" borderId="1" xfId="0" applyNumberFormat="1" applyFont="1" applyFill="1" applyBorder="1"/>
    <xf numFmtId="0" fontId="8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3" fontId="16" fillId="6" borderId="1" xfId="0" applyNumberFormat="1" applyFont="1" applyFill="1" applyBorder="1"/>
    <xf numFmtId="3" fontId="8" fillId="6" borderId="1" xfId="0" applyNumberFormat="1" applyFont="1" applyFill="1" applyBorder="1"/>
    <xf numFmtId="0" fontId="13" fillId="0" borderId="1" xfId="0" applyFont="1" applyFill="1" applyBorder="1"/>
    <xf numFmtId="0" fontId="16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3" fontId="8" fillId="5" borderId="1" xfId="0" applyNumberFormat="1" applyFont="1" applyFill="1" applyBorder="1"/>
    <xf numFmtId="165" fontId="8" fillId="5" borderId="1" xfId="0" applyNumberFormat="1" applyFont="1" applyFill="1" applyBorder="1"/>
    <xf numFmtId="165" fontId="8" fillId="0" borderId="0" xfId="0" applyNumberFormat="1" applyFont="1" applyFill="1" applyBorder="1"/>
    <xf numFmtId="49" fontId="8" fillId="4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7" borderId="1" xfId="0" applyFont="1" applyFill="1" applyBorder="1" applyAlignment="1">
      <alignment wrapText="1"/>
    </xf>
    <xf numFmtId="3" fontId="7" fillId="7" borderId="1" xfId="0" applyNumberFormat="1" applyFont="1" applyFill="1" applyBorder="1"/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4" fillId="0" borderId="0" xfId="3" applyFont="1" applyAlignment="1">
      <alignment vertical="center"/>
    </xf>
    <xf numFmtId="0" fontId="7" fillId="0" borderId="0" xfId="3" applyFont="1" applyFill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4" fontId="16" fillId="0" borderId="0" xfId="3" applyNumberFormat="1" applyFont="1" applyBorder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0" fontId="19" fillId="0" borderId="6" xfId="4" applyFont="1" applyFill="1" applyBorder="1" applyAlignment="1" applyProtection="1">
      <alignment horizontal="left" vertical="center"/>
      <protection locked="0"/>
    </xf>
    <xf numFmtId="0" fontId="17" fillId="0" borderId="7" xfId="4" applyFont="1" applyFill="1" applyBorder="1" applyAlignment="1" applyProtection="1">
      <alignment horizontal="right" vertical="center"/>
      <protection locked="0"/>
    </xf>
    <xf numFmtId="14" fontId="20" fillId="0" borderId="8" xfId="4" applyNumberFormat="1" applyFont="1" applyFill="1" applyBorder="1" applyAlignment="1" applyProtection="1">
      <alignment horizontal="left" vertical="center"/>
      <protection locked="0"/>
    </xf>
    <xf numFmtId="0" fontId="22" fillId="0" borderId="6" xfId="3" applyFont="1" applyBorder="1" applyAlignment="1">
      <alignment horizontal="left" vertical="center"/>
    </xf>
    <xf numFmtId="0" fontId="19" fillId="0" borderId="7" xfId="3" applyFont="1" applyBorder="1" applyAlignment="1">
      <alignment vertical="center"/>
    </xf>
    <xf numFmtId="0" fontId="22" fillId="0" borderId="8" xfId="4" applyFont="1" applyFill="1" applyBorder="1" applyAlignment="1" applyProtection="1">
      <alignment horizontal="left" vertical="center"/>
      <protection locked="0"/>
    </xf>
    <xf numFmtId="0" fontId="23" fillId="21" borderId="13" xfId="4" applyFont="1" applyFill="1" applyBorder="1" applyAlignment="1">
      <alignment horizontal="left" vertical="center"/>
    </xf>
    <xf numFmtId="0" fontId="23" fillId="21" borderId="14" xfId="4" applyFont="1" applyFill="1" applyBorder="1" applyAlignment="1">
      <alignment horizontal="left" vertical="center"/>
    </xf>
    <xf numFmtId="0" fontId="23" fillId="21" borderId="15" xfId="4" applyFont="1" applyFill="1" applyBorder="1" applyAlignment="1">
      <alignment vertical="center"/>
    </xf>
    <xf numFmtId="3" fontId="24" fillId="21" borderId="14" xfId="4" applyNumberFormat="1" applyFont="1" applyFill="1" applyBorder="1" applyAlignment="1" applyProtection="1">
      <alignment vertical="center"/>
    </xf>
    <xf numFmtId="3" fontId="24" fillId="21" borderId="16" xfId="4" applyNumberFormat="1" applyFont="1" applyFill="1" applyBorder="1" applyAlignment="1" applyProtection="1">
      <alignment vertical="center"/>
    </xf>
    <xf numFmtId="3" fontId="8" fillId="0" borderId="0" xfId="3" applyNumberFormat="1" applyFont="1" applyAlignment="1">
      <alignment vertical="center"/>
    </xf>
    <xf numFmtId="0" fontId="25" fillId="22" borderId="18" xfId="3" applyFont="1" applyFill="1" applyBorder="1" applyAlignment="1">
      <alignment horizontal="left" vertical="center"/>
    </xf>
    <xf numFmtId="0" fontId="25" fillId="22" borderId="7" xfId="3" applyFont="1" applyFill="1" applyBorder="1" applyAlignment="1">
      <alignment horizontal="left" vertical="center"/>
    </xf>
    <xf numFmtId="0" fontId="23" fillId="22" borderId="8" xfId="4" applyFont="1" applyFill="1" applyBorder="1" applyAlignment="1">
      <alignment vertical="center"/>
    </xf>
    <xf numFmtId="3" fontId="24" fillId="22" borderId="7" xfId="4" applyNumberFormat="1" applyFont="1" applyFill="1" applyBorder="1" applyAlignment="1" applyProtection="1">
      <alignment vertical="center"/>
    </xf>
    <xf numFmtId="3" fontId="24" fillId="22" borderId="19" xfId="4" applyNumberFormat="1" applyFont="1" applyFill="1" applyBorder="1" applyAlignment="1" applyProtection="1">
      <alignment vertical="center"/>
    </xf>
    <xf numFmtId="0" fontId="19" fillId="0" borderId="5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 vertical="center"/>
    </xf>
    <xf numFmtId="0" fontId="5" fillId="0" borderId="20" xfId="4" applyFont="1" applyFill="1" applyBorder="1" applyAlignment="1">
      <alignment vertical="center"/>
    </xf>
    <xf numFmtId="3" fontId="26" fillId="0" borderId="0" xfId="4" applyNumberFormat="1" applyFont="1" applyFill="1" applyBorder="1" applyAlignment="1" applyProtection="1">
      <alignment vertical="center"/>
      <protection locked="0"/>
    </xf>
    <xf numFmtId="0" fontId="5" fillId="0" borderId="20" xfId="3" applyFont="1" applyFill="1" applyBorder="1" applyAlignment="1">
      <alignment vertical="center"/>
    </xf>
    <xf numFmtId="0" fontId="25" fillId="22" borderId="22" xfId="4" applyFont="1" applyFill="1" applyBorder="1" applyAlignment="1">
      <alignment horizontal="left" vertical="center"/>
    </xf>
    <xf numFmtId="0" fontId="25" fillId="22" borderId="23" xfId="4" applyFont="1" applyFill="1" applyBorder="1" applyAlignment="1">
      <alignment horizontal="left" vertical="center"/>
    </xf>
    <xf numFmtId="0" fontId="23" fillId="22" borderId="24" xfId="4" applyFont="1" applyFill="1" applyBorder="1" applyAlignment="1">
      <alignment vertical="center"/>
    </xf>
    <xf numFmtId="3" fontId="24" fillId="22" borderId="23" xfId="4" applyNumberFormat="1" applyFont="1" applyFill="1" applyBorder="1" applyAlignment="1" applyProtection="1">
      <alignment vertical="center"/>
    </xf>
    <xf numFmtId="3" fontId="24" fillId="22" borderId="26" xfId="4" applyNumberFormat="1" applyFont="1" applyFill="1" applyBorder="1" applyAlignment="1" applyProtection="1">
      <alignment vertical="center"/>
    </xf>
    <xf numFmtId="0" fontId="8" fillId="0" borderId="0" xfId="3" applyFont="1" applyAlignment="1">
      <alignment horizontal="center" vertical="center"/>
    </xf>
    <xf numFmtId="3" fontId="24" fillId="21" borderId="27" xfId="4" applyNumberFormat="1" applyFont="1" applyFill="1" applyBorder="1" applyAlignment="1" applyProtection="1">
      <alignment vertical="center"/>
    </xf>
    <xf numFmtId="3" fontId="24" fillId="21" borderId="28" xfId="4" applyNumberFormat="1" applyFont="1" applyFill="1" applyBorder="1" applyAlignment="1" applyProtection="1">
      <alignment vertical="center"/>
    </xf>
    <xf numFmtId="0" fontId="25" fillId="22" borderId="30" xfId="4" applyFont="1" applyFill="1" applyBorder="1" applyAlignment="1">
      <alignment horizontal="left" vertical="center"/>
    </xf>
    <xf numFmtId="0" fontId="25" fillId="22" borderId="4" xfId="4" applyFont="1" applyFill="1" applyBorder="1" applyAlignment="1">
      <alignment horizontal="left" vertical="center"/>
    </xf>
    <xf numFmtId="0" fontId="23" fillId="22" borderId="31" xfId="4" applyFont="1" applyFill="1" applyBorder="1" applyAlignment="1">
      <alignment vertical="center"/>
    </xf>
    <xf numFmtId="3" fontId="24" fillId="22" borderId="4" xfId="4" applyNumberFormat="1" applyFont="1" applyFill="1" applyBorder="1" applyAlignment="1" applyProtection="1">
      <alignment vertical="center"/>
    </xf>
    <xf numFmtId="0" fontId="19" fillId="23" borderId="5" xfId="4" applyFont="1" applyFill="1" applyBorder="1" applyAlignment="1">
      <alignment horizontal="left" vertical="center"/>
    </xf>
    <xf numFmtId="0" fontId="19" fillId="23" borderId="0" xfId="4" applyFont="1" applyFill="1" applyBorder="1" applyAlignment="1">
      <alignment horizontal="left" vertical="center"/>
    </xf>
    <xf numFmtId="0" fontId="5" fillId="23" borderId="20" xfId="4" applyFont="1" applyFill="1" applyBorder="1" applyAlignment="1">
      <alignment vertical="center"/>
    </xf>
    <xf numFmtId="3" fontId="26" fillId="23" borderId="0" xfId="4" applyNumberFormat="1" applyFont="1" applyFill="1" applyBorder="1" applyAlignment="1" applyProtection="1">
      <alignment vertical="center"/>
      <protection locked="0"/>
    </xf>
    <xf numFmtId="0" fontId="19" fillId="0" borderId="13" xfId="4" applyFont="1" applyFill="1" applyBorder="1" applyAlignment="1">
      <alignment horizontal="left" vertical="center"/>
    </xf>
    <xf numFmtId="0" fontId="19" fillId="0" borderId="14" xfId="4" applyFont="1" applyFill="1" applyBorder="1" applyAlignment="1">
      <alignment horizontal="left" vertical="center"/>
    </xf>
    <xf numFmtId="0" fontId="5" fillId="0" borderId="15" xfId="4" applyFont="1" applyFill="1" applyBorder="1" applyAlignment="1">
      <alignment vertical="center"/>
    </xf>
    <xf numFmtId="0" fontId="23" fillId="24" borderId="13" xfId="3" applyFont="1" applyFill="1" applyBorder="1" applyAlignment="1">
      <alignment horizontal="left" vertical="center"/>
    </xf>
    <xf numFmtId="0" fontId="23" fillId="24" borderId="14" xfId="3" applyFont="1" applyFill="1" applyBorder="1" applyAlignment="1">
      <alignment horizontal="left" vertical="center"/>
    </xf>
    <xf numFmtId="0" fontId="19" fillId="24" borderId="15" xfId="3" applyFont="1" applyFill="1" applyBorder="1" applyAlignment="1">
      <alignment vertical="center"/>
    </xf>
    <xf numFmtId="3" fontId="23" fillId="24" borderId="27" xfId="3" applyNumberFormat="1" applyFont="1" applyFill="1" applyBorder="1" applyAlignment="1">
      <alignment vertical="center"/>
    </xf>
    <xf numFmtId="0" fontId="23" fillId="21" borderId="33" xfId="3" applyFont="1" applyFill="1" applyBorder="1" applyAlignment="1">
      <alignment horizontal="left" vertical="center"/>
    </xf>
    <xf numFmtId="0" fontId="23" fillId="21" borderId="27" xfId="3" applyFont="1" applyFill="1" applyBorder="1" applyAlignment="1">
      <alignment horizontal="left" vertical="center"/>
    </xf>
    <xf numFmtId="0" fontId="19" fillId="21" borderId="34" xfId="3" applyFont="1" applyFill="1" applyBorder="1" applyAlignment="1">
      <alignment vertical="center"/>
    </xf>
    <xf numFmtId="3" fontId="23" fillId="21" borderId="27" xfId="3" applyNumberFormat="1" applyFont="1" applyFill="1" applyBorder="1" applyAlignment="1">
      <alignment vertical="center"/>
    </xf>
    <xf numFmtId="3" fontId="23" fillId="21" borderId="28" xfId="3" applyNumberFormat="1" applyFont="1" applyFill="1" applyBorder="1" applyAlignment="1">
      <alignment vertical="center"/>
    </xf>
    <xf numFmtId="0" fontId="8" fillId="23" borderId="0" xfId="4" applyFont="1" applyFill="1" applyBorder="1" applyAlignment="1">
      <alignment horizontal="left" vertical="center"/>
    </xf>
    <xf numFmtId="49" fontId="19" fillId="0" borderId="5" xfId="4" applyNumberFormat="1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5" fillId="0" borderId="20" xfId="3" applyFont="1" applyFill="1" applyBorder="1" applyAlignment="1">
      <alignment horizontal="left" vertical="center"/>
    </xf>
    <xf numFmtId="0" fontId="19" fillId="0" borderId="5" xfId="3" applyFont="1" applyFill="1" applyBorder="1" applyAlignment="1">
      <alignment horizontal="left" vertical="center"/>
    </xf>
    <xf numFmtId="0" fontId="19" fillId="25" borderId="33" xfId="3" applyFont="1" applyFill="1" applyBorder="1" applyAlignment="1">
      <alignment horizontal="left" vertical="center"/>
    </xf>
    <xf numFmtId="0" fontId="23" fillId="24" borderId="27" xfId="4" applyFont="1" applyFill="1" applyBorder="1" applyAlignment="1">
      <alignment horizontal="left" vertical="center"/>
    </xf>
    <xf numFmtId="0" fontId="19" fillId="24" borderId="34" xfId="4" applyFont="1" applyFill="1" applyBorder="1" applyAlignment="1">
      <alignment vertical="center"/>
    </xf>
    <xf numFmtId="3" fontId="23" fillId="24" borderId="28" xfId="3" applyNumberFormat="1" applyFont="1" applyFill="1" applyBorder="1" applyAlignment="1">
      <alignment vertical="center"/>
    </xf>
    <xf numFmtId="0" fontId="19" fillId="21" borderId="33" xfId="3" applyFont="1" applyFill="1" applyBorder="1" applyAlignment="1">
      <alignment horizontal="left" vertical="center"/>
    </xf>
    <xf numFmtId="49" fontId="19" fillId="0" borderId="35" xfId="4" applyNumberFormat="1" applyFont="1" applyFill="1" applyBorder="1" applyAlignment="1">
      <alignment horizontal="left" vertical="center"/>
    </xf>
    <xf numFmtId="49" fontId="19" fillId="0" borderId="36" xfId="4" applyNumberFormat="1" applyFont="1" applyFill="1" applyBorder="1" applyAlignment="1">
      <alignment horizontal="left" vertical="center"/>
    </xf>
    <xf numFmtId="0" fontId="5" fillId="0" borderId="37" xfId="4" applyFont="1" applyFill="1" applyBorder="1" applyAlignment="1">
      <alignment horizontal="left" vertical="center"/>
    </xf>
    <xf numFmtId="3" fontId="26" fillId="0" borderId="38" xfId="4" applyNumberFormat="1" applyFont="1" applyFill="1" applyBorder="1" applyAlignment="1" applyProtection="1">
      <alignment vertical="center"/>
      <protection locked="0"/>
    </xf>
    <xf numFmtId="3" fontId="26" fillId="0" borderId="39" xfId="4" applyNumberFormat="1" applyFont="1" applyFill="1" applyBorder="1" applyAlignment="1" applyProtection="1">
      <alignment vertical="center"/>
      <protection locked="0"/>
    </xf>
    <xf numFmtId="49" fontId="19" fillId="23" borderId="5" xfId="4" applyNumberFormat="1" applyFont="1" applyFill="1" applyBorder="1" applyAlignment="1">
      <alignment horizontal="left" vertical="center"/>
    </xf>
    <xf numFmtId="49" fontId="19" fillId="23" borderId="0" xfId="4" applyNumberFormat="1" applyFont="1" applyFill="1" applyBorder="1" applyAlignment="1">
      <alignment horizontal="left" vertical="center"/>
    </xf>
    <xf numFmtId="0" fontId="5" fillId="23" borderId="20" xfId="4" applyFont="1" applyFill="1" applyBorder="1" applyAlignment="1">
      <alignment horizontal="left" vertical="center"/>
    </xf>
    <xf numFmtId="49" fontId="19" fillId="0" borderId="41" xfId="4" applyNumberFormat="1" applyFont="1" applyFill="1" applyBorder="1" applyAlignment="1">
      <alignment horizontal="left" vertical="center"/>
    </xf>
    <xf numFmtId="49" fontId="19" fillId="0" borderId="38" xfId="4" applyNumberFormat="1" applyFont="1" applyFill="1" applyBorder="1" applyAlignment="1">
      <alignment horizontal="left" vertical="center"/>
    </xf>
    <xf numFmtId="49" fontId="19" fillId="23" borderId="14" xfId="4" applyNumberFormat="1" applyFont="1" applyFill="1" applyBorder="1" applyAlignment="1">
      <alignment horizontal="left" vertical="center"/>
    </xf>
    <xf numFmtId="0" fontId="23" fillId="21" borderId="27" xfId="4" applyFont="1" applyFill="1" applyBorder="1" applyAlignment="1">
      <alignment horizontal="left" vertical="center"/>
    </xf>
    <xf numFmtId="0" fontId="19" fillId="21" borderId="34" xfId="4" applyFont="1" applyFill="1" applyBorder="1" applyAlignment="1">
      <alignment vertical="center"/>
    </xf>
    <xf numFmtId="3" fontId="23" fillId="21" borderId="27" xfId="4" applyNumberFormat="1" applyFont="1" applyFill="1" applyBorder="1" applyAlignment="1">
      <alignment horizontal="right" vertical="center"/>
    </xf>
    <xf numFmtId="0" fontId="19" fillId="0" borderId="33" xfId="3" applyFont="1" applyFill="1" applyBorder="1" applyAlignment="1">
      <alignment horizontal="left" vertical="center"/>
    </xf>
    <xf numFmtId="0" fontId="19" fillId="0" borderId="27" xfId="3" applyFont="1" applyFill="1" applyBorder="1" applyAlignment="1">
      <alignment horizontal="left" vertical="center"/>
    </xf>
    <xf numFmtId="0" fontId="19" fillId="0" borderId="34" xfId="3" applyFont="1" applyFill="1" applyBorder="1" applyAlignment="1">
      <alignment vertical="center"/>
    </xf>
    <xf numFmtId="3" fontId="19" fillId="0" borderId="27" xfId="3" applyNumberFormat="1" applyFont="1" applyFill="1" applyBorder="1" applyAlignment="1">
      <alignment vertical="center"/>
    </xf>
    <xf numFmtId="3" fontId="26" fillId="0" borderId="28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9" fillId="26" borderId="42" xfId="3" applyFont="1" applyFill="1" applyBorder="1" applyAlignment="1">
      <alignment horizontal="left" vertical="center"/>
    </xf>
    <xf numFmtId="3" fontId="24" fillId="26" borderId="0" xfId="4" applyNumberFormat="1" applyFont="1" applyFill="1" applyBorder="1" applyAlignment="1" applyProtection="1">
      <alignment vertical="center"/>
    </xf>
    <xf numFmtId="3" fontId="23" fillId="26" borderId="45" xfId="4" applyNumberFormat="1" applyFont="1" applyFill="1" applyBorder="1" applyAlignment="1" applyProtection="1">
      <alignment vertical="center"/>
    </xf>
    <xf numFmtId="49" fontId="23" fillId="22" borderId="47" xfId="4" applyNumberFormat="1" applyFont="1" applyFill="1" applyBorder="1" applyAlignment="1">
      <alignment horizontal="left" vertical="center"/>
    </xf>
    <xf numFmtId="0" fontId="25" fillId="22" borderId="48" xfId="4" applyFont="1" applyFill="1" applyBorder="1" applyAlignment="1">
      <alignment horizontal="left" vertical="center"/>
    </xf>
    <xf numFmtId="0" fontId="25" fillId="22" borderId="49" xfId="4" applyFont="1" applyFill="1" applyBorder="1" applyAlignment="1">
      <alignment vertical="center"/>
    </xf>
    <xf numFmtId="3" fontId="24" fillId="22" borderId="48" xfId="3" applyNumberFormat="1" applyFont="1" applyFill="1" applyBorder="1" applyAlignment="1" applyProtection="1">
      <alignment vertical="center"/>
    </xf>
    <xf numFmtId="0" fontId="7" fillId="0" borderId="0" xfId="3" applyFont="1" applyAlignment="1">
      <alignment vertical="center"/>
    </xf>
    <xf numFmtId="49" fontId="23" fillId="22" borderId="50" xfId="4" applyNumberFormat="1" applyFont="1" applyFill="1" applyBorder="1" applyAlignment="1">
      <alignment horizontal="left" vertical="center"/>
    </xf>
    <xf numFmtId="0" fontId="25" fillId="22" borderId="0" xfId="4" applyFont="1" applyFill="1" applyBorder="1" applyAlignment="1">
      <alignment horizontal="left" vertical="center"/>
    </xf>
    <xf numFmtId="0" fontId="25" fillId="22" borderId="20" xfId="3" applyFont="1" applyFill="1" applyBorder="1" applyAlignment="1">
      <alignment vertical="center"/>
    </xf>
    <xf numFmtId="3" fontId="24" fillId="22" borderId="0" xfId="3" applyNumberFormat="1" applyFont="1" applyFill="1" applyBorder="1" applyAlignment="1" applyProtection="1">
      <alignment vertical="center"/>
    </xf>
    <xf numFmtId="3" fontId="24" fillId="22" borderId="51" xfId="3" applyNumberFormat="1" applyFont="1" applyFill="1" applyBorder="1" applyAlignment="1" applyProtection="1">
      <alignment vertical="center"/>
    </xf>
    <xf numFmtId="0" fontId="19" fillId="26" borderId="50" xfId="3" applyFont="1" applyFill="1" applyBorder="1" applyAlignment="1">
      <alignment horizontal="left" vertical="center"/>
    </xf>
    <xf numFmtId="3" fontId="24" fillId="26" borderId="51" xfId="4" applyNumberFormat="1" applyFont="1" applyFill="1" applyBorder="1" applyAlignment="1" applyProtection="1">
      <alignment vertical="center"/>
    </xf>
    <xf numFmtId="3" fontId="23" fillId="26" borderId="52" xfId="4" applyNumberFormat="1" applyFont="1" applyFill="1" applyBorder="1" applyAlignment="1" applyProtection="1">
      <alignment vertical="center"/>
    </xf>
    <xf numFmtId="0" fontId="25" fillId="22" borderId="20" xfId="4" applyFont="1" applyFill="1" applyBorder="1" applyAlignment="1">
      <alignment vertical="center"/>
    </xf>
    <xf numFmtId="3" fontId="24" fillId="22" borderId="52" xfId="3" applyNumberFormat="1" applyFont="1" applyFill="1" applyBorder="1" applyAlignment="1" applyProtection="1">
      <alignment vertical="center"/>
    </xf>
    <xf numFmtId="0" fontId="8" fillId="0" borderId="0" xfId="3" applyFont="1" applyBorder="1" applyAlignment="1">
      <alignment vertical="center"/>
    </xf>
    <xf numFmtId="49" fontId="23" fillId="22" borderId="53" xfId="4" applyNumberFormat="1" applyFont="1" applyFill="1" applyBorder="1" applyAlignment="1">
      <alignment horizontal="left" vertical="center"/>
    </xf>
    <xf numFmtId="0" fontId="25" fillId="22" borderId="14" xfId="4" applyFont="1" applyFill="1" applyBorder="1" applyAlignment="1">
      <alignment horizontal="left" vertical="center"/>
    </xf>
    <xf numFmtId="0" fontId="25" fillId="22" borderId="15" xfId="3" applyFont="1" applyFill="1" applyBorder="1" applyAlignment="1">
      <alignment vertical="center"/>
    </xf>
    <xf numFmtId="3" fontId="24" fillId="22" borderId="54" xfId="3" applyNumberFormat="1" applyFont="1" applyFill="1" applyBorder="1" applyAlignment="1" applyProtection="1">
      <alignment vertical="center"/>
    </xf>
    <xf numFmtId="3" fontId="24" fillId="22" borderId="55" xfId="3" applyNumberFormat="1" applyFont="1" applyFill="1" applyBorder="1" applyAlignment="1" applyProtection="1">
      <alignment vertical="center"/>
    </xf>
    <xf numFmtId="0" fontId="19" fillId="0" borderId="0" xfId="3" applyFont="1" applyAlignment="1">
      <alignment vertical="center"/>
    </xf>
    <xf numFmtId="3" fontId="8" fillId="0" borderId="0" xfId="3" applyNumberFormat="1" applyFont="1" applyBorder="1" applyAlignment="1">
      <alignment vertical="center"/>
    </xf>
    <xf numFmtId="4" fontId="8" fillId="0" borderId="0" xfId="3" applyNumberFormat="1" applyFont="1" applyAlignment="1">
      <alignment vertical="center"/>
    </xf>
    <xf numFmtId="4" fontId="8" fillId="0" borderId="0" xfId="3" applyNumberFormat="1" applyFont="1" applyBorder="1" applyAlignment="1">
      <alignment vertical="center"/>
    </xf>
    <xf numFmtId="4" fontId="26" fillId="0" borderId="0" xfId="3" applyNumberFormat="1" applyFont="1" applyBorder="1" applyAlignment="1">
      <alignment vertical="center"/>
    </xf>
    <xf numFmtId="166" fontId="24" fillId="21" borderId="17" xfId="4" applyNumberFormat="1" applyFont="1" applyFill="1" applyBorder="1" applyAlignment="1" applyProtection="1">
      <alignment vertical="center"/>
    </xf>
    <xf numFmtId="166" fontId="24" fillId="22" borderId="12" xfId="4" applyNumberFormat="1" applyFont="1" applyFill="1" applyBorder="1" applyAlignment="1" applyProtection="1">
      <alignment vertical="center"/>
    </xf>
    <xf numFmtId="166" fontId="26" fillId="0" borderId="21" xfId="4" applyNumberFormat="1" applyFont="1" applyFill="1" applyBorder="1" applyAlignment="1" applyProtection="1">
      <alignment vertical="center"/>
      <protection locked="0"/>
    </xf>
    <xf numFmtId="166" fontId="24" fillId="22" borderId="25" xfId="4" applyNumberFormat="1" applyFont="1" applyFill="1" applyBorder="1" applyAlignment="1" applyProtection="1">
      <alignment vertical="center"/>
    </xf>
    <xf numFmtId="166" fontId="26" fillId="0" borderId="21" xfId="4" applyNumberFormat="1" applyFont="1" applyFill="1" applyBorder="1" applyAlignment="1" applyProtection="1">
      <alignment horizontal="right" vertical="center"/>
      <protection locked="0"/>
    </xf>
    <xf numFmtId="166" fontId="24" fillId="21" borderId="29" xfId="4" applyNumberFormat="1" applyFont="1" applyFill="1" applyBorder="1" applyAlignment="1" applyProtection="1">
      <alignment vertical="center"/>
    </xf>
    <xf numFmtId="166" fontId="24" fillId="22" borderId="32" xfId="4" applyNumberFormat="1" applyFont="1" applyFill="1" applyBorder="1" applyAlignment="1" applyProtection="1">
      <alignment vertical="center"/>
    </xf>
    <xf numFmtId="166" fontId="26" fillId="23" borderId="21" xfId="4" applyNumberFormat="1" applyFont="1" applyFill="1" applyBorder="1" applyAlignment="1" applyProtection="1">
      <alignment vertical="center"/>
      <protection locked="0"/>
    </xf>
    <xf numFmtId="166" fontId="23" fillId="24" borderId="29" xfId="3" applyNumberFormat="1" applyFont="1" applyFill="1" applyBorder="1" applyAlignment="1">
      <alignment vertical="center"/>
    </xf>
    <xf numFmtId="166" fontId="23" fillId="21" borderId="29" xfId="3" applyNumberFormat="1" applyFont="1" applyFill="1" applyBorder="1" applyAlignment="1">
      <alignment vertical="center"/>
    </xf>
    <xf numFmtId="166" fontId="26" fillId="0" borderId="40" xfId="4" applyNumberFormat="1" applyFont="1" applyFill="1" applyBorder="1" applyAlignment="1" applyProtection="1">
      <alignment vertical="center"/>
      <protection locked="0"/>
    </xf>
    <xf numFmtId="166" fontId="26" fillId="23" borderId="21" xfId="4" applyNumberFormat="1" applyFont="1" applyFill="1" applyBorder="1" applyAlignment="1" applyProtection="1">
      <alignment horizontal="right" vertical="center"/>
      <protection locked="0"/>
    </xf>
    <xf numFmtId="166" fontId="23" fillId="21" borderId="29" xfId="4" applyNumberFormat="1" applyFont="1" applyFill="1" applyBorder="1" applyAlignment="1">
      <alignment horizontal="right" vertical="center"/>
    </xf>
    <xf numFmtId="166" fontId="26" fillId="0" borderId="29" xfId="3" applyNumberFormat="1" applyFont="1" applyFill="1" applyBorder="1" applyAlignment="1">
      <alignment vertical="center"/>
    </xf>
    <xf numFmtId="166" fontId="23" fillId="26" borderId="46" xfId="4" applyNumberFormat="1" applyFont="1" applyFill="1" applyBorder="1" applyAlignment="1" applyProtection="1">
      <alignment vertical="center"/>
    </xf>
    <xf numFmtId="166" fontId="24" fillId="22" borderId="10" xfId="3" applyNumberFormat="1" applyFont="1" applyFill="1" applyBorder="1" applyAlignment="1" applyProtection="1">
      <alignment vertical="center"/>
    </xf>
    <xf numFmtId="166" fontId="24" fillId="22" borderId="21" xfId="3" applyNumberFormat="1" applyFont="1" applyFill="1" applyBorder="1" applyAlignment="1" applyProtection="1">
      <alignment vertical="center"/>
    </xf>
    <xf numFmtId="166" fontId="23" fillId="26" borderId="21" xfId="4" applyNumberFormat="1" applyFont="1" applyFill="1" applyBorder="1" applyAlignment="1" applyProtection="1">
      <alignment vertical="center"/>
    </xf>
    <xf numFmtId="166" fontId="24" fillId="22" borderId="21" xfId="3" applyNumberFormat="1" applyFont="1" applyFill="1" applyBorder="1" applyAlignment="1" applyProtection="1">
      <alignment horizontal="right" vertical="center"/>
    </xf>
    <xf numFmtId="166" fontId="24" fillId="22" borderId="56" xfId="3" applyNumberFormat="1" applyFont="1" applyFill="1" applyBorder="1" applyAlignment="1" applyProtection="1">
      <alignment vertical="center"/>
    </xf>
    <xf numFmtId="3" fontId="24" fillId="21" borderId="16" xfId="4" applyNumberFormat="1" applyFont="1" applyFill="1" applyBorder="1" applyAlignment="1" applyProtection="1">
      <alignment vertical="center"/>
    </xf>
    <xf numFmtId="3" fontId="24" fillId="22" borderId="19" xfId="4" applyNumberFormat="1" applyFont="1" applyFill="1" applyBorder="1" applyAlignment="1" applyProtection="1">
      <alignment vertical="center"/>
    </xf>
    <xf numFmtId="3" fontId="26" fillId="0" borderId="0" xfId="4" applyNumberFormat="1" applyFont="1" applyFill="1" applyBorder="1" applyAlignment="1" applyProtection="1">
      <alignment vertical="center"/>
      <protection locked="0"/>
    </xf>
    <xf numFmtId="3" fontId="24" fillId="22" borderId="23" xfId="4" applyNumberFormat="1" applyFont="1" applyFill="1" applyBorder="1" applyAlignment="1" applyProtection="1">
      <alignment vertical="center"/>
    </xf>
    <xf numFmtId="3" fontId="24" fillId="22" borderId="26" xfId="4" applyNumberFormat="1" applyFont="1" applyFill="1" applyBorder="1" applyAlignment="1" applyProtection="1">
      <alignment vertical="center"/>
    </xf>
    <xf numFmtId="3" fontId="24" fillId="21" borderId="28" xfId="4" applyNumberFormat="1" applyFont="1" applyFill="1" applyBorder="1" applyAlignment="1" applyProtection="1">
      <alignment vertical="center"/>
    </xf>
    <xf numFmtId="3" fontId="24" fillId="22" borderId="4" xfId="4" applyNumberFormat="1" applyFont="1" applyFill="1" applyBorder="1" applyAlignment="1" applyProtection="1">
      <alignment vertical="center"/>
    </xf>
    <xf numFmtId="3" fontId="26" fillId="23" borderId="0" xfId="4" applyNumberFormat="1" applyFont="1" applyFill="1" applyBorder="1" applyAlignment="1" applyProtection="1">
      <alignment vertical="center"/>
      <protection locked="0"/>
    </xf>
    <xf numFmtId="3" fontId="23" fillId="24" borderId="27" xfId="3" applyNumberFormat="1" applyFont="1" applyFill="1" applyBorder="1" applyAlignment="1">
      <alignment vertical="center"/>
    </xf>
    <xf numFmtId="3" fontId="23" fillId="21" borderId="28" xfId="3" applyNumberFormat="1" applyFont="1" applyFill="1" applyBorder="1" applyAlignment="1">
      <alignment vertical="center"/>
    </xf>
    <xf numFmtId="3" fontId="23" fillId="24" borderId="28" xfId="3" applyNumberFormat="1" applyFont="1" applyFill="1" applyBorder="1" applyAlignment="1">
      <alignment vertical="center"/>
    </xf>
    <xf numFmtId="3" fontId="26" fillId="0" borderId="39" xfId="4" applyNumberFormat="1" applyFont="1" applyFill="1" applyBorder="1" applyAlignment="1" applyProtection="1">
      <alignment vertical="center"/>
      <protection locked="0"/>
    </xf>
    <xf numFmtId="3" fontId="24" fillId="22" borderId="48" xfId="3" applyNumberFormat="1" applyFont="1" applyFill="1" applyBorder="1" applyAlignment="1" applyProtection="1">
      <alignment vertical="center"/>
    </xf>
    <xf numFmtId="3" fontId="24" fillId="22" borderId="0" xfId="3" applyNumberFormat="1" applyFont="1" applyFill="1" applyBorder="1" applyAlignment="1" applyProtection="1">
      <alignment vertical="center"/>
    </xf>
    <xf numFmtId="3" fontId="24" fillId="22" borderId="51" xfId="3" applyNumberFormat="1" applyFont="1" applyFill="1" applyBorder="1" applyAlignment="1" applyProtection="1">
      <alignment vertical="center"/>
    </xf>
    <xf numFmtId="3" fontId="23" fillId="26" borderId="52" xfId="4" applyNumberFormat="1" applyFont="1" applyFill="1" applyBorder="1" applyAlignment="1" applyProtection="1">
      <alignment vertical="center"/>
    </xf>
    <xf numFmtId="3" fontId="24" fillId="22" borderId="52" xfId="3" applyNumberFormat="1" applyFont="1" applyFill="1" applyBorder="1" applyAlignment="1" applyProtection="1">
      <alignment vertical="center"/>
    </xf>
    <xf numFmtId="3" fontId="24" fillId="22" borderId="55" xfId="3" applyNumberFormat="1" applyFont="1" applyFill="1" applyBorder="1" applyAlignment="1" applyProtection="1">
      <alignment vertical="center"/>
    </xf>
    <xf numFmtId="3" fontId="23" fillId="21" borderId="43" xfId="4" applyNumberFormat="1" applyFont="1" applyFill="1" applyBorder="1" applyAlignment="1">
      <alignment horizontal="right" vertical="center"/>
    </xf>
    <xf numFmtId="3" fontId="23" fillId="26" borderId="57" xfId="4" applyNumberFormat="1" applyFont="1" applyFill="1" applyBorder="1" applyAlignment="1" applyProtection="1">
      <alignment vertical="center"/>
    </xf>
    <xf numFmtId="3" fontId="23" fillId="0" borderId="23" xfId="4" applyNumberFormat="1" applyFont="1" applyFill="1" applyBorder="1" applyAlignment="1">
      <alignment horizontal="right" vertical="center"/>
    </xf>
    <xf numFmtId="0" fontId="8" fillId="0" borderId="4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3" fontId="24" fillId="21" borderId="13" xfId="4" applyNumberFormat="1" applyFont="1" applyFill="1" applyBorder="1" applyAlignment="1" applyProtection="1">
      <alignment vertical="center"/>
    </xf>
    <xf numFmtId="3" fontId="24" fillId="22" borderId="18" xfId="4" applyNumberFormat="1" applyFont="1" applyFill="1" applyBorder="1" applyAlignment="1" applyProtection="1">
      <alignment vertical="center"/>
    </xf>
    <xf numFmtId="3" fontId="26" fillId="0" borderId="5" xfId="4" applyNumberFormat="1" applyFont="1" applyFill="1" applyBorder="1" applyAlignment="1" applyProtection="1">
      <alignment vertical="center"/>
      <protection locked="0"/>
    </xf>
    <xf numFmtId="3" fontId="24" fillId="22" borderId="22" xfId="4" applyNumberFormat="1" applyFont="1" applyFill="1" applyBorder="1" applyAlignment="1" applyProtection="1">
      <alignment vertical="center"/>
    </xf>
    <xf numFmtId="3" fontId="24" fillId="21" borderId="33" xfId="4" applyNumberFormat="1" applyFont="1" applyFill="1" applyBorder="1" applyAlignment="1" applyProtection="1">
      <alignment vertical="center"/>
    </xf>
    <xf numFmtId="3" fontId="24" fillId="22" borderId="30" xfId="4" applyNumberFormat="1" applyFont="1" applyFill="1" applyBorder="1" applyAlignment="1" applyProtection="1">
      <alignment vertical="center"/>
    </xf>
    <xf numFmtId="3" fontId="26" fillId="23" borderId="5" xfId="4" applyNumberFormat="1" applyFont="1" applyFill="1" applyBorder="1" applyAlignment="1" applyProtection="1">
      <alignment vertical="center"/>
      <protection locked="0"/>
    </xf>
    <xf numFmtId="3" fontId="23" fillId="24" borderId="33" xfId="3" applyNumberFormat="1" applyFont="1" applyFill="1" applyBorder="1" applyAlignment="1">
      <alignment vertical="center"/>
    </xf>
    <xf numFmtId="3" fontId="23" fillId="21" borderId="33" xfId="3" applyNumberFormat="1" applyFont="1" applyFill="1" applyBorder="1" applyAlignment="1">
      <alignment vertical="center"/>
    </xf>
    <xf numFmtId="3" fontId="26" fillId="0" borderId="41" xfId="4" applyNumberFormat="1" applyFont="1" applyFill="1" applyBorder="1" applyAlignment="1" applyProtection="1">
      <alignment vertical="center"/>
      <protection locked="0"/>
    </xf>
    <xf numFmtId="3" fontId="23" fillId="21" borderId="42" xfId="4" applyNumberFormat="1" applyFont="1" applyFill="1" applyBorder="1" applyAlignment="1">
      <alignment horizontal="right" vertical="center"/>
    </xf>
    <xf numFmtId="3" fontId="23" fillId="0" borderId="22" xfId="4" applyNumberFormat="1" applyFont="1" applyFill="1" applyBorder="1" applyAlignment="1">
      <alignment horizontal="right" vertical="center"/>
    </xf>
    <xf numFmtId="3" fontId="23" fillId="26" borderId="5" xfId="4" applyNumberFormat="1" applyFont="1" applyFill="1" applyBorder="1" applyAlignment="1" applyProtection="1">
      <alignment vertical="center"/>
    </xf>
    <xf numFmtId="3" fontId="24" fillId="22" borderId="64" xfId="3" applyNumberFormat="1" applyFont="1" applyFill="1" applyBorder="1" applyAlignment="1" applyProtection="1">
      <alignment vertical="center"/>
    </xf>
    <xf numFmtId="3" fontId="24" fillId="22" borderId="5" xfId="3" applyNumberFormat="1" applyFont="1" applyFill="1" applyBorder="1" applyAlignment="1" applyProtection="1">
      <alignment vertical="center"/>
    </xf>
    <xf numFmtId="3" fontId="24" fillId="22" borderId="65" xfId="3" applyNumberFormat="1" applyFont="1" applyFill="1" applyBorder="1" applyAlignment="1" applyProtection="1">
      <alignment vertical="center"/>
    </xf>
    <xf numFmtId="3" fontId="23" fillId="26" borderId="66" xfId="4" applyNumberFormat="1" applyFont="1" applyFill="1" applyBorder="1" applyAlignment="1" applyProtection="1">
      <alignment vertical="center"/>
    </xf>
    <xf numFmtId="3" fontId="24" fillId="22" borderId="66" xfId="3" applyNumberFormat="1" applyFont="1" applyFill="1" applyBorder="1" applyAlignment="1" applyProtection="1">
      <alignment vertical="center"/>
    </xf>
    <xf numFmtId="3" fontId="24" fillId="22" borderId="67" xfId="3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/>
    </xf>
    <xf numFmtId="9" fontId="8" fillId="0" borderId="0" xfId="3" applyNumberFormat="1" applyFont="1" applyAlignment="1">
      <alignment vertical="center"/>
    </xf>
    <xf numFmtId="0" fontId="8" fillId="0" borderId="43" xfId="3" applyFont="1" applyBorder="1" applyAlignment="1">
      <alignment horizontal="center" vertical="center"/>
    </xf>
    <xf numFmtId="0" fontId="8" fillId="0" borderId="44" xfId="3" applyFont="1" applyBorder="1" applyAlignment="1">
      <alignment horizontal="center" vertical="center"/>
    </xf>
    <xf numFmtId="0" fontId="25" fillId="26" borderId="0" xfId="4" applyFont="1" applyFill="1" applyBorder="1" applyAlignment="1">
      <alignment vertical="center" wrapText="1"/>
    </xf>
    <xf numFmtId="0" fontId="5" fillId="26" borderId="20" xfId="3" applyFont="1" applyFill="1" applyBorder="1" applyAlignment="1">
      <alignment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4" fontId="21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7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25" fillId="26" borderId="43" xfId="4" applyFont="1" applyFill="1" applyBorder="1" applyAlignment="1">
      <alignment vertical="center" wrapText="1"/>
    </xf>
    <xf numFmtId="0" fontId="5" fillId="26" borderId="44" xfId="3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24" fillId="21" borderId="58" xfId="4" applyNumberFormat="1" applyFont="1" applyFill="1" applyBorder="1" applyAlignment="1" applyProtection="1">
      <alignment vertical="center"/>
    </xf>
    <xf numFmtId="166" fontId="24" fillId="22" borderId="59" xfId="4" applyNumberFormat="1" applyFont="1" applyFill="1" applyBorder="1" applyAlignment="1" applyProtection="1">
      <alignment vertical="center"/>
    </xf>
    <xf numFmtId="166" fontId="26" fillId="0" borderId="20" xfId="4" applyNumberFormat="1" applyFont="1" applyFill="1" applyBorder="1" applyAlignment="1" applyProtection="1">
      <alignment vertical="center"/>
      <protection locked="0"/>
    </xf>
    <xf numFmtId="166" fontId="24" fillId="22" borderId="24" xfId="4" applyNumberFormat="1" applyFont="1" applyFill="1" applyBorder="1" applyAlignment="1" applyProtection="1">
      <alignment vertical="center"/>
    </xf>
    <xf numFmtId="166" fontId="24" fillId="22" borderId="60" xfId="4" applyNumberFormat="1" applyFont="1" applyFill="1" applyBorder="1" applyAlignment="1" applyProtection="1">
      <alignment vertical="center"/>
    </xf>
    <xf numFmtId="166" fontId="26" fillId="0" borderId="20" xfId="4" applyNumberFormat="1" applyFont="1" applyFill="1" applyBorder="1" applyAlignment="1" applyProtection="1">
      <alignment horizontal="right" vertical="center"/>
      <protection locked="0"/>
    </xf>
    <xf numFmtId="166" fontId="24" fillId="21" borderId="61" xfId="4" applyNumberFormat="1" applyFont="1" applyFill="1" applyBorder="1" applyAlignment="1" applyProtection="1">
      <alignment vertical="center"/>
    </xf>
    <xf numFmtId="166" fontId="24" fillId="22" borderId="31" xfId="4" applyNumberFormat="1" applyFont="1" applyFill="1" applyBorder="1" applyAlignment="1" applyProtection="1">
      <alignment vertical="center"/>
    </xf>
    <xf numFmtId="166" fontId="26" fillId="23" borderId="20" xfId="4" applyNumberFormat="1" applyFont="1" applyFill="1" applyBorder="1" applyAlignment="1" applyProtection="1">
      <alignment vertical="center"/>
      <protection locked="0"/>
    </xf>
    <xf numFmtId="166" fontId="23" fillId="24" borderId="34" xfId="3" applyNumberFormat="1" applyFont="1" applyFill="1" applyBorder="1" applyAlignment="1">
      <alignment vertical="center"/>
    </xf>
    <xf numFmtId="166" fontId="23" fillId="21" borderId="61" xfId="3" applyNumberFormat="1" applyFont="1" applyFill="1" applyBorder="1" applyAlignment="1">
      <alignment vertical="center"/>
    </xf>
    <xf numFmtId="166" fontId="23" fillId="24" borderId="61" xfId="3" applyNumberFormat="1" applyFont="1" applyFill="1" applyBorder="1" applyAlignment="1">
      <alignment vertical="center"/>
    </xf>
    <xf numFmtId="166" fontId="26" fillId="0" borderId="62" xfId="4" applyNumberFormat="1" applyFont="1" applyFill="1" applyBorder="1" applyAlignment="1" applyProtection="1">
      <alignment vertical="center"/>
      <protection locked="0"/>
    </xf>
    <xf numFmtId="166" fontId="23" fillId="21" borderId="44" xfId="4" applyNumberFormat="1" applyFont="1" applyFill="1" applyBorder="1" applyAlignment="1">
      <alignment horizontal="right" vertical="center"/>
    </xf>
    <xf numFmtId="166" fontId="23" fillId="0" borderId="24" xfId="4" applyNumberFormat="1" applyFont="1" applyFill="1" applyBorder="1" applyAlignment="1">
      <alignment horizontal="right" vertical="center"/>
    </xf>
    <xf numFmtId="166" fontId="23" fillId="26" borderId="63" xfId="4" applyNumberFormat="1" applyFont="1" applyFill="1" applyBorder="1" applyAlignment="1" applyProtection="1">
      <alignment vertical="center"/>
    </xf>
    <xf numFmtId="166" fontId="24" fillId="22" borderId="49" xfId="3" applyNumberFormat="1" applyFont="1" applyFill="1" applyBorder="1" applyAlignment="1" applyProtection="1">
      <alignment vertical="center"/>
    </xf>
    <xf numFmtId="166" fontId="24" fillId="22" borderId="20" xfId="3" applyNumberFormat="1" applyFont="1" applyFill="1" applyBorder="1" applyAlignment="1" applyProtection="1">
      <alignment vertical="center"/>
    </xf>
    <xf numFmtId="166" fontId="23" fillId="26" borderId="20" xfId="4" applyNumberFormat="1" applyFont="1" applyFill="1" applyBorder="1" applyAlignment="1" applyProtection="1">
      <alignment vertical="center"/>
    </xf>
    <xf numFmtId="166" fontId="24" fillId="22" borderId="15" xfId="3" applyNumberFormat="1" applyFont="1" applyFill="1" applyBorder="1" applyAlignment="1" applyProtection="1">
      <alignment vertical="center"/>
    </xf>
    <xf numFmtId="0" fontId="8" fillId="3" borderId="1" xfId="0" applyFont="1" applyFill="1" applyBorder="1"/>
    <xf numFmtId="0" fontId="8" fillId="3" borderId="0" xfId="0" applyFont="1" applyFill="1"/>
  </cellXfs>
  <cellStyles count="30">
    <cellStyle name="20% – rõhk1 2" xfId="5"/>
    <cellStyle name="20% – rõhk2 2" xfId="6"/>
    <cellStyle name="20% – rõhk3 2" xfId="7"/>
    <cellStyle name="20% – rõhk4 2" xfId="8"/>
    <cellStyle name="20% – rõhk5 2" xfId="9"/>
    <cellStyle name="20% – rõhk6 2" xfId="10"/>
    <cellStyle name="40% – rõhk1 2" xfId="11"/>
    <cellStyle name="40% – rõhk2 2" xfId="12"/>
    <cellStyle name="40% – rõhk3 2" xfId="13"/>
    <cellStyle name="40% – rõhk4 2" xfId="14"/>
    <cellStyle name="40% – rõhk5 2" xfId="15"/>
    <cellStyle name="40% – rõhk6 2" xfId="16"/>
    <cellStyle name="Märkus 2" xfId="17"/>
    <cellStyle name="Märkus 3" xfId="18"/>
    <cellStyle name="Normaallaad 2" xfId="19"/>
    <cellStyle name="Normaallaad 3" xfId="20"/>
    <cellStyle name="Normaallaad 4" xfId="21"/>
    <cellStyle name="Normaallaad_Leht1" xfId="1"/>
    <cellStyle name="Normal" xfId="0" builtinId="0"/>
    <cellStyle name="Normal 2" xfId="3"/>
    <cellStyle name="Normal 3" xfId="22"/>
    <cellStyle name="Normal 3 2" xfId="24"/>
    <cellStyle name="Normal 3 3" xfId="27"/>
    <cellStyle name="Normal 4" xfId="23"/>
    <cellStyle name="Normal 4 2" xfId="25"/>
    <cellStyle name="Normal 4 3" xfId="28"/>
    <cellStyle name="Normal 5 2" xfId="26"/>
    <cellStyle name="Normal 5 3" xfId="29"/>
    <cellStyle name="Normal_Sheet1 2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zoomScale="110" zoomScaleNormal="110" workbookViewId="0">
      <selection activeCell="L20" sqref="L20"/>
    </sheetView>
  </sheetViews>
  <sheetFormatPr defaultRowHeight="12.75"/>
  <cols>
    <col min="1" max="1" width="9.85546875" style="189" customWidth="1"/>
    <col min="2" max="2" width="4.85546875" style="84" customWidth="1"/>
    <col min="3" max="3" width="53" style="84" customWidth="1"/>
    <col min="4" max="4" width="13.7109375" style="191" customWidth="1"/>
    <col min="5" max="5" width="13.7109375" style="193" customWidth="1"/>
    <col min="6" max="6" width="9.140625" style="84"/>
    <col min="7" max="7" width="9.28515625" style="84" bestFit="1" customWidth="1"/>
    <col min="8" max="246" width="9.140625" style="84"/>
    <col min="247" max="247" width="9.85546875" style="84" customWidth="1"/>
    <col min="248" max="248" width="4.85546875" style="84" customWidth="1"/>
    <col min="249" max="249" width="53" style="84" customWidth="1"/>
    <col min="250" max="251" width="13.7109375" style="84" customWidth="1"/>
    <col min="252" max="253" width="9.140625" style="84"/>
    <col min="254" max="254" width="10" style="84" bestFit="1" customWidth="1"/>
    <col min="255" max="255" width="10.140625" style="84" customWidth="1"/>
    <col min="256" max="257" width="9.140625" style="84"/>
    <col min="258" max="258" width="10.28515625" style="84" bestFit="1" customWidth="1"/>
    <col min="259" max="259" width="11.140625" style="84" bestFit="1" customWidth="1"/>
    <col min="260" max="260" width="10.5703125" style="84" bestFit="1" customWidth="1"/>
    <col min="261" max="261" width="11.28515625" style="84" bestFit="1" customWidth="1"/>
    <col min="262" max="502" width="9.140625" style="84"/>
    <col min="503" max="503" width="9.85546875" style="84" customWidth="1"/>
    <col min="504" max="504" width="4.85546875" style="84" customWidth="1"/>
    <col min="505" max="505" width="53" style="84" customWidth="1"/>
    <col min="506" max="507" width="13.7109375" style="84" customWidth="1"/>
    <col min="508" max="509" width="9.140625" style="84"/>
    <col min="510" max="510" width="10" style="84" bestFit="1" customWidth="1"/>
    <col min="511" max="511" width="10.140625" style="84" customWidth="1"/>
    <col min="512" max="513" width="9.140625" style="84"/>
    <col min="514" max="514" width="10.28515625" style="84" bestFit="1" customWidth="1"/>
    <col min="515" max="515" width="11.140625" style="84" bestFit="1" customWidth="1"/>
    <col min="516" max="516" width="10.5703125" style="84" bestFit="1" customWidth="1"/>
    <col min="517" max="517" width="11.28515625" style="84" bestFit="1" customWidth="1"/>
    <col min="518" max="758" width="9.140625" style="84"/>
    <col min="759" max="759" width="9.85546875" style="84" customWidth="1"/>
    <col min="760" max="760" width="4.85546875" style="84" customWidth="1"/>
    <col min="761" max="761" width="53" style="84" customWidth="1"/>
    <col min="762" max="763" width="13.7109375" style="84" customWidth="1"/>
    <col min="764" max="765" width="9.140625" style="84"/>
    <col min="766" max="766" width="10" style="84" bestFit="1" customWidth="1"/>
    <col min="767" max="767" width="10.140625" style="84" customWidth="1"/>
    <col min="768" max="769" width="9.140625" style="84"/>
    <col min="770" max="770" width="10.28515625" style="84" bestFit="1" customWidth="1"/>
    <col min="771" max="771" width="11.140625" style="84" bestFit="1" customWidth="1"/>
    <col min="772" max="772" width="10.5703125" style="84" bestFit="1" customWidth="1"/>
    <col min="773" max="773" width="11.28515625" style="84" bestFit="1" customWidth="1"/>
    <col min="774" max="1014" width="9.140625" style="84"/>
    <col min="1015" max="1015" width="9.85546875" style="84" customWidth="1"/>
    <col min="1016" max="1016" width="4.85546875" style="84" customWidth="1"/>
    <col min="1017" max="1017" width="53" style="84" customWidth="1"/>
    <col min="1018" max="1019" width="13.7109375" style="84" customWidth="1"/>
    <col min="1020" max="1021" width="9.140625" style="84"/>
    <col min="1022" max="1022" width="10" style="84" bestFit="1" customWidth="1"/>
    <col min="1023" max="1023" width="10.140625" style="84" customWidth="1"/>
    <col min="1024" max="1025" width="9.140625" style="84"/>
    <col min="1026" max="1026" width="10.28515625" style="84" bestFit="1" customWidth="1"/>
    <col min="1027" max="1027" width="11.140625" style="84" bestFit="1" customWidth="1"/>
    <col min="1028" max="1028" width="10.5703125" style="84" bestFit="1" customWidth="1"/>
    <col min="1029" max="1029" width="11.28515625" style="84" bestFit="1" customWidth="1"/>
    <col min="1030" max="1270" width="9.140625" style="84"/>
    <col min="1271" max="1271" width="9.85546875" style="84" customWidth="1"/>
    <col min="1272" max="1272" width="4.85546875" style="84" customWidth="1"/>
    <col min="1273" max="1273" width="53" style="84" customWidth="1"/>
    <col min="1274" max="1275" width="13.7109375" style="84" customWidth="1"/>
    <col min="1276" max="1277" width="9.140625" style="84"/>
    <col min="1278" max="1278" width="10" style="84" bestFit="1" customWidth="1"/>
    <col min="1279" max="1279" width="10.140625" style="84" customWidth="1"/>
    <col min="1280" max="1281" width="9.140625" style="84"/>
    <col min="1282" max="1282" width="10.28515625" style="84" bestFit="1" customWidth="1"/>
    <col min="1283" max="1283" width="11.140625" style="84" bestFit="1" customWidth="1"/>
    <col min="1284" max="1284" width="10.5703125" style="84" bestFit="1" customWidth="1"/>
    <col min="1285" max="1285" width="11.28515625" style="84" bestFit="1" customWidth="1"/>
    <col min="1286" max="1526" width="9.140625" style="84"/>
    <col min="1527" max="1527" width="9.85546875" style="84" customWidth="1"/>
    <col min="1528" max="1528" width="4.85546875" style="84" customWidth="1"/>
    <col min="1529" max="1529" width="53" style="84" customWidth="1"/>
    <col min="1530" max="1531" width="13.7109375" style="84" customWidth="1"/>
    <col min="1532" max="1533" width="9.140625" style="84"/>
    <col min="1534" max="1534" width="10" style="84" bestFit="1" customWidth="1"/>
    <col min="1535" max="1535" width="10.140625" style="84" customWidth="1"/>
    <col min="1536" max="1537" width="9.140625" style="84"/>
    <col min="1538" max="1538" width="10.28515625" style="84" bestFit="1" customWidth="1"/>
    <col min="1539" max="1539" width="11.140625" style="84" bestFit="1" customWidth="1"/>
    <col min="1540" max="1540" width="10.5703125" style="84" bestFit="1" customWidth="1"/>
    <col min="1541" max="1541" width="11.28515625" style="84" bestFit="1" customWidth="1"/>
    <col min="1542" max="1782" width="9.140625" style="84"/>
    <col min="1783" max="1783" width="9.85546875" style="84" customWidth="1"/>
    <col min="1784" max="1784" width="4.85546875" style="84" customWidth="1"/>
    <col min="1785" max="1785" width="53" style="84" customWidth="1"/>
    <col min="1786" max="1787" width="13.7109375" style="84" customWidth="1"/>
    <col min="1788" max="1789" width="9.140625" style="84"/>
    <col min="1790" max="1790" width="10" style="84" bestFit="1" customWidth="1"/>
    <col min="1791" max="1791" width="10.140625" style="84" customWidth="1"/>
    <col min="1792" max="1793" width="9.140625" style="84"/>
    <col min="1794" max="1794" width="10.28515625" style="84" bestFit="1" customWidth="1"/>
    <col min="1795" max="1795" width="11.140625" style="84" bestFit="1" customWidth="1"/>
    <col min="1796" max="1796" width="10.5703125" style="84" bestFit="1" customWidth="1"/>
    <col min="1797" max="1797" width="11.28515625" style="84" bestFit="1" customWidth="1"/>
    <col min="1798" max="2038" width="9.140625" style="84"/>
    <col min="2039" max="2039" width="9.85546875" style="84" customWidth="1"/>
    <col min="2040" max="2040" width="4.85546875" style="84" customWidth="1"/>
    <col min="2041" max="2041" width="53" style="84" customWidth="1"/>
    <col min="2042" max="2043" width="13.7109375" style="84" customWidth="1"/>
    <col min="2044" max="2045" width="9.140625" style="84"/>
    <col min="2046" max="2046" width="10" style="84" bestFit="1" customWidth="1"/>
    <col min="2047" max="2047" width="10.140625" style="84" customWidth="1"/>
    <col min="2048" max="2049" width="9.140625" style="84"/>
    <col min="2050" max="2050" width="10.28515625" style="84" bestFit="1" customWidth="1"/>
    <col min="2051" max="2051" width="11.140625" style="84" bestFit="1" customWidth="1"/>
    <col min="2052" max="2052" width="10.5703125" style="84" bestFit="1" customWidth="1"/>
    <col min="2053" max="2053" width="11.28515625" style="84" bestFit="1" customWidth="1"/>
    <col min="2054" max="2294" width="9.140625" style="84"/>
    <col min="2295" max="2295" width="9.85546875" style="84" customWidth="1"/>
    <col min="2296" max="2296" width="4.85546875" style="84" customWidth="1"/>
    <col min="2297" max="2297" width="53" style="84" customWidth="1"/>
    <col min="2298" max="2299" width="13.7109375" style="84" customWidth="1"/>
    <col min="2300" max="2301" width="9.140625" style="84"/>
    <col min="2302" max="2302" width="10" style="84" bestFit="1" customWidth="1"/>
    <col min="2303" max="2303" width="10.140625" style="84" customWidth="1"/>
    <col min="2304" max="2305" width="9.140625" style="84"/>
    <col min="2306" max="2306" width="10.28515625" style="84" bestFit="1" customWidth="1"/>
    <col min="2307" max="2307" width="11.140625" style="84" bestFit="1" customWidth="1"/>
    <col min="2308" max="2308" width="10.5703125" style="84" bestFit="1" customWidth="1"/>
    <col min="2309" max="2309" width="11.28515625" style="84" bestFit="1" customWidth="1"/>
    <col min="2310" max="2550" width="9.140625" style="84"/>
    <col min="2551" max="2551" width="9.85546875" style="84" customWidth="1"/>
    <col min="2552" max="2552" width="4.85546875" style="84" customWidth="1"/>
    <col min="2553" max="2553" width="53" style="84" customWidth="1"/>
    <col min="2554" max="2555" width="13.7109375" style="84" customWidth="1"/>
    <col min="2556" max="2557" width="9.140625" style="84"/>
    <col min="2558" max="2558" width="10" style="84" bestFit="1" customWidth="1"/>
    <col min="2559" max="2559" width="10.140625" style="84" customWidth="1"/>
    <col min="2560" max="2561" width="9.140625" style="84"/>
    <col min="2562" max="2562" width="10.28515625" style="84" bestFit="1" customWidth="1"/>
    <col min="2563" max="2563" width="11.140625" style="84" bestFit="1" customWidth="1"/>
    <col min="2564" max="2564" width="10.5703125" style="84" bestFit="1" customWidth="1"/>
    <col min="2565" max="2565" width="11.28515625" style="84" bestFit="1" customWidth="1"/>
    <col min="2566" max="2806" width="9.140625" style="84"/>
    <col min="2807" max="2807" width="9.85546875" style="84" customWidth="1"/>
    <col min="2808" max="2808" width="4.85546875" style="84" customWidth="1"/>
    <col min="2809" max="2809" width="53" style="84" customWidth="1"/>
    <col min="2810" max="2811" width="13.7109375" style="84" customWidth="1"/>
    <col min="2812" max="2813" width="9.140625" style="84"/>
    <col min="2814" max="2814" width="10" style="84" bestFit="1" customWidth="1"/>
    <col min="2815" max="2815" width="10.140625" style="84" customWidth="1"/>
    <col min="2816" max="2817" width="9.140625" style="84"/>
    <col min="2818" max="2818" width="10.28515625" style="84" bestFit="1" customWidth="1"/>
    <col min="2819" max="2819" width="11.140625" style="84" bestFit="1" customWidth="1"/>
    <col min="2820" max="2820" width="10.5703125" style="84" bestFit="1" customWidth="1"/>
    <col min="2821" max="2821" width="11.28515625" style="84" bestFit="1" customWidth="1"/>
    <col min="2822" max="3062" width="9.140625" style="84"/>
    <col min="3063" max="3063" width="9.85546875" style="84" customWidth="1"/>
    <col min="3064" max="3064" width="4.85546875" style="84" customWidth="1"/>
    <col min="3065" max="3065" width="53" style="84" customWidth="1"/>
    <col min="3066" max="3067" width="13.7109375" style="84" customWidth="1"/>
    <col min="3068" max="3069" width="9.140625" style="84"/>
    <col min="3070" max="3070" width="10" style="84" bestFit="1" customWidth="1"/>
    <col min="3071" max="3071" width="10.140625" style="84" customWidth="1"/>
    <col min="3072" max="3073" width="9.140625" style="84"/>
    <col min="3074" max="3074" width="10.28515625" style="84" bestFit="1" customWidth="1"/>
    <col min="3075" max="3075" width="11.140625" style="84" bestFit="1" customWidth="1"/>
    <col min="3076" max="3076" width="10.5703125" style="84" bestFit="1" customWidth="1"/>
    <col min="3077" max="3077" width="11.28515625" style="84" bestFit="1" customWidth="1"/>
    <col min="3078" max="3318" width="9.140625" style="84"/>
    <col min="3319" max="3319" width="9.85546875" style="84" customWidth="1"/>
    <col min="3320" max="3320" width="4.85546875" style="84" customWidth="1"/>
    <col min="3321" max="3321" width="53" style="84" customWidth="1"/>
    <col min="3322" max="3323" width="13.7109375" style="84" customWidth="1"/>
    <col min="3324" max="3325" width="9.140625" style="84"/>
    <col min="3326" max="3326" width="10" style="84" bestFit="1" customWidth="1"/>
    <col min="3327" max="3327" width="10.140625" style="84" customWidth="1"/>
    <col min="3328" max="3329" width="9.140625" style="84"/>
    <col min="3330" max="3330" width="10.28515625" style="84" bestFit="1" customWidth="1"/>
    <col min="3331" max="3331" width="11.140625" style="84" bestFit="1" customWidth="1"/>
    <col min="3332" max="3332" width="10.5703125" style="84" bestFit="1" customWidth="1"/>
    <col min="3333" max="3333" width="11.28515625" style="84" bestFit="1" customWidth="1"/>
    <col min="3334" max="3574" width="9.140625" style="84"/>
    <col min="3575" max="3575" width="9.85546875" style="84" customWidth="1"/>
    <col min="3576" max="3576" width="4.85546875" style="84" customWidth="1"/>
    <col min="3577" max="3577" width="53" style="84" customWidth="1"/>
    <col min="3578" max="3579" width="13.7109375" style="84" customWidth="1"/>
    <col min="3580" max="3581" width="9.140625" style="84"/>
    <col min="3582" max="3582" width="10" style="84" bestFit="1" customWidth="1"/>
    <col min="3583" max="3583" width="10.140625" style="84" customWidth="1"/>
    <col min="3584" max="3585" width="9.140625" style="84"/>
    <col min="3586" max="3586" width="10.28515625" style="84" bestFit="1" customWidth="1"/>
    <col min="3587" max="3587" width="11.140625" style="84" bestFit="1" customWidth="1"/>
    <col min="3588" max="3588" width="10.5703125" style="84" bestFit="1" customWidth="1"/>
    <col min="3589" max="3589" width="11.28515625" style="84" bestFit="1" customWidth="1"/>
    <col min="3590" max="3830" width="9.140625" style="84"/>
    <col min="3831" max="3831" width="9.85546875" style="84" customWidth="1"/>
    <col min="3832" max="3832" width="4.85546875" style="84" customWidth="1"/>
    <col min="3833" max="3833" width="53" style="84" customWidth="1"/>
    <col min="3834" max="3835" width="13.7109375" style="84" customWidth="1"/>
    <col min="3836" max="3837" width="9.140625" style="84"/>
    <col min="3838" max="3838" width="10" style="84" bestFit="1" customWidth="1"/>
    <col min="3839" max="3839" width="10.140625" style="84" customWidth="1"/>
    <col min="3840" max="3841" width="9.140625" style="84"/>
    <col min="3842" max="3842" width="10.28515625" style="84" bestFit="1" customWidth="1"/>
    <col min="3843" max="3843" width="11.140625" style="84" bestFit="1" customWidth="1"/>
    <col min="3844" max="3844" width="10.5703125" style="84" bestFit="1" customWidth="1"/>
    <col min="3845" max="3845" width="11.28515625" style="84" bestFit="1" customWidth="1"/>
    <col min="3846" max="4086" width="9.140625" style="84"/>
    <col min="4087" max="4087" width="9.85546875" style="84" customWidth="1"/>
    <col min="4088" max="4088" width="4.85546875" style="84" customWidth="1"/>
    <col min="4089" max="4089" width="53" style="84" customWidth="1"/>
    <col min="4090" max="4091" width="13.7109375" style="84" customWidth="1"/>
    <col min="4092" max="4093" width="9.140625" style="84"/>
    <col min="4094" max="4094" width="10" style="84" bestFit="1" customWidth="1"/>
    <col min="4095" max="4095" width="10.140625" style="84" customWidth="1"/>
    <col min="4096" max="4097" width="9.140625" style="84"/>
    <col min="4098" max="4098" width="10.28515625" style="84" bestFit="1" customWidth="1"/>
    <col min="4099" max="4099" width="11.140625" style="84" bestFit="1" customWidth="1"/>
    <col min="4100" max="4100" width="10.5703125" style="84" bestFit="1" customWidth="1"/>
    <col min="4101" max="4101" width="11.28515625" style="84" bestFit="1" customWidth="1"/>
    <col min="4102" max="4342" width="9.140625" style="84"/>
    <col min="4343" max="4343" width="9.85546875" style="84" customWidth="1"/>
    <col min="4344" max="4344" width="4.85546875" style="84" customWidth="1"/>
    <col min="4345" max="4345" width="53" style="84" customWidth="1"/>
    <col min="4346" max="4347" width="13.7109375" style="84" customWidth="1"/>
    <col min="4348" max="4349" width="9.140625" style="84"/>
    <col min="4350" max="4350" width="10" style="84" bestFit="1" customWidth="1"/>
    <col min="4351" max="4351" width="10.140625" style="84" customWidth="1"/>
    <col min="4352" max="4353" width="9.140625" style="84"/>
    <col min="4354" max="4354" width="10.28515625" style="84" bestFit="1" customWidth="1"/>
    <col min="4355" max="4355" width="11.140625" style="84" bestFit="1" customWidth="1"/>
    <col min="4356" max="4356" width="10.5703125" style="84" bestFit="1" customWidth="1"/>
    <col min="4357" max="4357" width="11.28515625" style="84" bestFit="1" customWidth="1"/>
    <col min="4358" max="4598" width="9.140625" style="84"/>
    <col min="4599" max="4599" width="9.85546875" style="84" customWidth="1"/>
    <col min="4600" max="4600" width="4.85546875" style="84" customWidth="1"/>
    <col min="4601" max="4601" width="53" style="84" customWidth="1"/>
    <col min="4602" max="4603" width="13.7109375" style="84" customWidth="1"/>
    <col min="4604" max="4605" width="9.140625" style="84"/>
    <col min="4606" max="4606" width="10" style="84" bestFit="1" customWidth="1"/>
    <col min="4607" max="4607" width="10.140625" style="84" customWidth="1"/>
    <col min="4608" max="4609" width="9.140625" style="84"/>
    <col min="4610" max="4610" width="10.28515625" style="84" bestFit="1" customWidth="1"/>
    <col min="4611" max="4611" width="11.140625" style="84" bestFit="1" customWidth="1"/>
    <col min="4612" max="4612" width="10.5703125" style="84" bestFit="1" customWidth="1"/>
    <col min="4613" max="4613" width="11.28515625" style="84" bestFit="1" customWidth="1"/>
    <col min="4614" max="4854" width="9.140625" style="84"/>
    <col min="4855" max="4855" width="9.85546875" style="84" customWidth="1"/>
    <col min="4856" max="4856" width="4.85546875" style="84" customWidth="1"/>
    <col min="4857" max="4857" width="53" style="84" customWidth="1"/>
    <col min="4858" max="4859" width="13.7109375" style="84" customWidth="1"/>
    <col min="4860" max="4861" width="9.140625" style="84"/>
    <col min="4862" max="4862" width="10" style="84" bestFit="1" customWidth="1"/>
    <col min="4863" max="4863" width="10.140625" style="84" customWidth="1"/>
    <col min="4864" max="4865" width="9.140625" style="84"/>
    <col min="4866" max="4866" width="10.28515625" style="84" bestFit="1" customWidth="1"/>
    <col min="4867" max="4867" width="11.140625" style="84" bestFit="1" customWidth="1"/>
    <col min="4868" max="4868" width="10.5703125" style="84" bestFit="1" customWidth="1"/>
    <col min="4869" max="4869" width="11.28515625" style="84" bestFit="1" customWidth="1"/>
    <col min="4870" max="5110" width="9.140625" style="84"/>
    <col min="5111" max="5111" width="9.85546875" style="84" customWidth="1"/>
    <col min="5112" max="5112" width="4.85546875" style="84" customWidth="1"/>
    <col min="5113" max="5113" width="53" style="84" customWidth="1"/>
    <col min="5114" max="5115" width="13.7109375" style="84" customWidth="1"/>
    <col min="5116" max="5117" width="9.140625" style="84"/>
    <col min="5118" max="5118" width="10" style="84" bestFit="1" customWidth="1"/>
    <col min="5119" max="5119" width="10.140625" style="84" customWidth="1"/>
    <col min="5120" max="5121" width="9.140625" style="84"/>
    <col min="5122" max="5122" width="10.28515625" style="84" bestFit="1" customWidth="1"/>
    <col min="5123" max="5123" width="11.140625" style="84" bestFit="1" customWidth="1"/>
    <col min="5124" max="5124" width="10.5703125" style="84" bestFit="1" customWidth="1"/>
    <col min="5125" max="5125" width="11.28515625" style="84" bestFit="1" customWidth="1"/>
    <col min="5126" max="5366" width="9.140625" style="84"/>
    <col min="5367" max="5367" width="9.85546875" style="84" customWidth="1"/>
    <col min="5368" max="5368" width="4.85546875" style="84" customWidth="1"/>
    <col min="5369" max="5369" width="53" style="84" customWidth="1"/>
    <col min="5370" max="5371" width="13.7109375" style="84" customWidth="1"/>
    <col min="5372" max="5373" width="9.140625" style="84"/>
    <col min="5374" max="5374" width="10" style="84" bestFit="1" customWidth="1"/>
    <col min="5375" max="5375" width="10.140625" style="84" customWidth="1"/>
    <col min="5376" max="5377" width="9.140625" style="84"/>
    <col min="5378" max="5378" width="10.28515625" style="84" bestFit="1" customWidth="1"/>
    <col min="5379" max="5379" width="11.140625" style="84" bestFit="1" customWidth="1"/>
    <col min="5380" max="5380" width="10.5703125" style="84" bestFit="1" customWidth="1"/>
    <col min="5381" max="5381" width="11.28515625" style="84" bestFit="1" customWidth="1"/>
    <col min="5382" max="5622" width="9.140625" style="84"/>
    <col min="5623" max="5623" width="9.85546875" style="84" customWidth="1"/>
    <col min="5624" max="5624" width="4.85546875" style="84" customWidth="1"/>
    <col min="5625" max="5625" width="53" style="84" customWidth="1"/>
    <col min="5626" max="5627" width="13.7109375" style="84" customWidth="1"/>
    <col min="5628" max="5629" width="9.140625" style="84"/>
    <col min="5630" max="5630" width="10" style="84" bestFit="1" customWidth="1"/>
    <col min="5631" max="5631" width="10.140625" style="84" customWidth="1"/>
    <col min="5632" max="5633" width="9.140625" style="84"/>
    <col min="5634" max="5634" width="10.28515625" style="84" bestFit="1" customWidth="1"/>
    <col min="5635" max="5635" width="11.140625" style="84" bestFit="1" customWidth="1"/>
    <col min="5636" max="5636" width="10.5703125" style="84" bestFit="1" customWidth="1"/>
    <col min="5637" max="5637" width="11.28515625" style="84" bestFit="1" customWidth="1"/>
    <col min="5638" max="5878" width="9.140625" style="84"/>
    <col min="5879" max="5879" width="9.85546875" style="84" customWidth="1"/>
    <col min="5880" max="5880" width="4.85546875" style="84" customWidth="1"/>
    <col min="5881" max="5881" width="53" style="84" customWidth="1"/>
    <col min="5882" max="5883" width="13.7109375" style="84" customWidth="1"/>
    <col min="5884" max="5885" width="9.140625" style="84"/>
    <col min="5886" max="5886" width="10" style="84" bestFit="1" customWidth="1"/>
    <col min="5887" max="5887" width="10.140625" style="84" customWidth="1"/>
    <col min="5888" max="5889" width="9.140625" style="84"/>
    <col min="5890" max="5890" width="10.28515625" style="84" bestFit="1" customWidth="1"/>
    <col min="5891" max="5891" width="11.140625" style="84" bestFit="1" customWidth="1"/>
    <col min="5892" max="5892" width="10.5703125" style="84" bestFit="1" customWidth="1"/>
    <col min="5893" max="5893" width="11.28515625" style="84" bestFit="1" customWidth="1"/>
    <col min="5894" max="6134" width="9.140625" style="84"/>
    <col min="6135" max="6135" width="9.85546875" style="84" customWidth="1"/>
    <col min="6136" max="6136" width="4.85546875" style="84" customWidth="1"/>
    <col min="6137" max="6137" width="53" style="84" customWidth="1"/>
    <col min="6138" max="6139" width="13.7109375" style="84" customWidth="1"/>
    <col min="6140" max="6141" width="9.140625" style="84"/>
    <col min="6142" max="6142" width="10" style="84" bestFit="1" customWidth="1"/>
    <col min="6143" max="6143" width="10.140625" style="84" customWidth="1"/>
    <col min="6144" max="6145" width="9.140625" style="84"/>
    <col min="6146" max="6146" width="10.28515625" style="84" bestFit="1" customWidth="1"/>
    <col min="6147" max="6147" width="11.140625" style="84" bestFit="1" customWidth="1"/>
    <col min="6148" max="6148" width="10.5703125" style="84" bestFit="1" customWidth="1"/>
    <col min="6149" max="6149" width="11.28515625" style="84" bestFit="1" customWidth="1"/>
    <col min="6150" max="6390" width="9.140625" style="84"/>
    <col min="6391" max="6391" width="9.85546875" style="84" customWidth="1"/>
    <col min="6392" max="6392" width="4.85546875" style="84" customWidth="1"/>
    <col min="6393" max="6393" width="53" style="84" customWidth="1"/>
    <col min="6394" max="6395" width="13.7109375" style="84" customWidth="1"/>
    <col min="6396" max="6397" width="9.140625" style="84"/>
    <col min="6398" max="6398" width="10" style="84" bestFit="1" customWidth="1"/>
    <col min="6399" max="6399" width="10.140625" style="84" customWidth="1"/>
    <col min="6400" max="6401" width="9.140625" style="84"/>
    <col min="6402" max="6402" width="10.28515625" style="84" bestFit="1" customWidth="1"/>
    <col min="6403" max="6403" width="11.140625" style="84" bestFit="1" customWidth="1"/>
    <col min="6404" max="6404" width="10.5703125" style="84" bestFit="1" customWidth="1"/>
    <col min="6405" max="6405" width="11.28515625" style="84" bestFit="1" customWidth="1"/>
    <col min="6406" max="6646" width="9.140625" style="84"/>
    <col min="6647" max="6647" width="9.85546875" style="84" customWidth="1"/>
    <col min="6648" max="6648" width="4.85546875" style="84" customWidth="1"/>
    <col min="6649" max="6649" width="53" style="84" customWidth="1"/>
    <col min="6650" max="6651" width="13.7109375" style="84" customWidth="1"/>
    <col min="6652" max="6653" width="9.140625" style="84"/>
    <col min="6654" max="6654" width="10" style="84" bestFit="1" customWidth="1"/>
    <col min="6655" max="6655" width="10.140625" style="84" customWidth="1"/>
    <col min="6656" max="6657" width="9.140625" style="84"/>
    <col min="6658" max="6658" width="10.28515625" style="84" bestFit="1" customWidth="1"/>
    <col min="6659" max="6659" width="11.140625" style="84" bestFit="1" customWidth="1"/>
    <col min="6660" max="6660" width="10.5703125" style="84" bestFit="1" customWidth="1"/>
    <col min="6661" max="6661" width="11.28515625" style="84" bestFit="1" customWidth="1"/>
    <col min="6662" max="6902" width="9.140625" style="84"/>
    <col min="6903" max="6903" width="9.85546875" style="84" customWidth="1"/>
    <col min="6904" max="6904" width="4.85546875" style="84" customWidth="1"/>
    <col min="6905" max="6905" width="53" style="84" customWidth="1"/>
    <col min="6906" max="6907" width="13.7109375" style="84" customWidth="1"/>
    <col min="6908" max="6909" width="9.140625" style="84"/>
    <col min="6910" max="6910" width="10" style="84" bestFit="1" customWidth="1"/>
    <col min="6911" max="6911" width="10.140625" style="84" customWidth="1"/>
    <col min="6912" max="6913" width="9.140625" style="84"/>
    <col min="6914" max="6914" width="10.28515625" style="84" bestFit="1" customWidth="1"/>
    <col min="6915" max="6915" width="11.140625" style="84" bestFit="1" customWidth="1"/>
    <col min="6916" max="6916" width="10.5703125" style="84" bestFit="1" customWidth="1"/>
    <col min="6917" max="6917" width="11.28515625" style="84" bestFit="1" customWidth="1"/>
    <col min="6918" max="7158" width="9.140625" style="84"/>
    <col min="7159" max="7159" width="9.85546875" style="84" customWidth="1"/>
    <col min="7160" max="7160" width="4.85546875" style="84" customWidth="1"/>
    <col min="7161" max="7161" width="53" style="84" customWidth="1"/>
    <col min="7162" max="7163" width="13.7109375" style="84" customWidth="1"/>
    <col min="7164" max="7165" width="9.140625" style="84"/>
    <col min="7166" max="7166" width="10" style="84" bestFit="1" customWidth="1"/>
    <col min="7167" max="7167" width="10.140625" style="84" customWidth="1"/>
    <col min="7168" max="7169" width="9.140625" style="84"/>
    <col min="7170" max="7170" width="10.28515625" style="84" bestFit="1" customWidth="1"/>
    <col min="7171" max="7171" width="11.140625" style="84" bestFit="1" customWidth="1"/>
    <col min="7172" max="7172" width="10.5703125" style="84" bestFit="1" customWidth="1"/>
    <col min="7173" max="7173" width="11.28515625" style="84" bestFit="1" customWidth="1"/>
    <col min="7174" max="7414" width="9.140625" style="84"/>
    <col min="7415" max="7415" width="9.85546875" style="84" customWidth="1"/>
    <col min="7416" max="7416" width="4.85546875" style="84" customWidth="1"/>
    <col min="7417" max="7417" width="53" style="84" customWidth="1"/>
    <col min="7418" max="7419" width="13.7109375" style="84" customWidth="1"/>
    <col min="7420" max="7421" width="9.140625" style="84"/>
    <col min="7422" max="7422" width="10" style="84" bestFit="1" customWidth="1"/>
    <col min="7423" max="7423" width="10.140625" style="84" customWidth="1"/>
    <col min="7424" max="7425" width="9.140625" style="84"/>
    <col min="7426" max="7426" width="10.28515625" style="84" bestFit="1" customWidth="1"/>
    <col min="7427" max="7427" width="11.140625" style="84" bestFit="1" customWidth="1"/>
    <col min="7428" max="7428" width="10.5703125" style="84" bestFit="1" customWidth="1"/>
    <col min="7429" max="7429" width="11.28515625" style="84" bestFit="1" customWidth="1"/>
    <col min="7430" max="7670" width="9.140625" style="84"/>
    <col min="7671" max="7671" width="9.85546875" style="84" customWidth="1"/>
    <col min="7672" max="7672" width="4.85546875" style="84" customWidth="1"/>
    <col min="7673" max="7673" width="53" style="84" customWidth="1"/>
    <col min="7674" max="7675" width="13.7109375" style="84" customWidth="1"/>
    <col min="7676" max="7677" width="9.140625" style="84"/>
    <col min="7678" max="7678" width="10" style="84" bestFit="1" customWidth="1"/>
    <col min="7679" max="7679" width="10.140625" style="84" customWidth="1"/>
    <col min="7680" max="7681" width="9.140625" style="84"/>
    <col min="7682" max="7682" width="10.28515625" style="84" bestFit="1" customWidth="1"/>
    <col min="7683" max="7683" width="11.140625" style="84" bestFit="1" customWidth="1"/>
    <col min="7684" max="7684" width="10.5703125" style="84" bestFit="1" customWidth="1"/>
    <col min="7685" max="7685" width="11.28515625" style="84" bestFit="1" customWidth="1"/>
    <col min="7686" max="7926" width="9.140625" style="84"/>
    <col min="7927" max="7927" width="9.85546875" style="84" customWidth="1"/>
    <col min="7928" max="7928" width="4.85546875" style="84" customWidth="1"/>
    <col min="7929" max="7929" width="53" style="84" customWidth="1"/>
    <col min="7930" max="7931" width="13.7109375" style="84" customWidth="1"/>
    <col min="7932" max="7933" width="9.140625" style="84"/>
    <col min="7934" max="7934" width="10" style="84" bestFit="1" customWidth="1"/>
    <col min="7935" max="7935" width="10.140625" style="84" customWidth="1"/>
    <col min="7936" max="7937" width="9.140625" style="84"/>
    <col min="7938" max="7938" width="10.28515625" style="84" bestFit="1" customWidth="1"/>
    <col min="7939" max="7939" width="11.140625" style="84" bestFit="1" customWidth="1"/>
    <col min="7940" max="7940" width="10.5703125" style="84" bestFit="1" customWidth="1"/>
    <col min="7941" max="7941" width="11.28515625" style="84" bestFit="1" customWidth="1"/>
    <col min="7942" max="8182" width="9.140625" style="84"/>
    <col min="8183" max="8183" width="9.85546875" style="84" customWidth="1"/>
    <col min="8184" max="8184" width="4.85546875" style="84" customWidth="1"/>
    <col min="8185" max="8185" width="53" style="84" customWidth="1"/>
    <col min="8186" max="8187" width="13.7109375" style="84" customWidth="1"/>
    <col min="8188" max="8189" width="9.140625" style="84"/>
    <col min="8190" max="8190" width="10" style="84" bestFit="1" customWidth="1"/>
    <col min="8191" max="8191" width="10.140625" style="84" customWidth="1"/>
    <col min="8192" max="8193" width="9.140625" style="84"/>
    <col min="8194" max="8194" width="10.28515625" style="84" bestFit="1" customWidth="1"/>
    <col min="8195" max="8195" width="11.140625" style="84" bestFit="1" customWidth="1"/>
    <col min="8196" max="8196" width="10.5703125" style="84" bestFit="1" customWidth="1"/>
    <col min="8197" max="8197" width="11.28515625" style="84" bestFit="1" customWidth="1"/>
    <col min="8198" max="8438" width="9.140625" style="84"/>
    <col min="8439" max="8439" width="9.85546875" style="84" customWidth="1"/>
    <col min="8440" max="8440" width="4.85546875" style="84" customWidth="1"/>
    <col min="8441" max="8441" width="53" style="84" customWidth="1"/>
    <col min="8442" max="8443" width="13.7109375" style="84" customWidth="1"/>
    <col min="8444" max="8445" width="9.140625" style="84"/>
    <col min="8446" max="8446" width="10" style="84" bestFit="1" customWidth="1"/>
    <col min="8447" max="8447" width="10.140625" style="84" customWidth="1"/>
    <col min="8448" max="8449" width="9.140625" style="84"/>
    <col min="8450" max="8450" width="10.28515625" style="84" bestFit="1" customWidth="1"/>
    <col min="8451" max="8451" width="11.140625" style="84" bestFit="1" customWidth="1"/>
    <col min="8452" max="8452" width="10.5703125" style="84" bestFit="1" customWidth="1"/>
    <col min="8453" max="8453" width="11.28515625" style="84" bestFit="1" customWidth="1"/>
    <col min="8454" max="8694" width="9.140625" style="84"/>
    <col min="8695" max="8695" width="9.85546875" style="84" customWidth="1"/>
    <col min="8696" max="8696" width="4.85546875" style="84" customWidth="1"/>
    <col min="8697" max="8697" width="53" style="84" customWidth="1"/>
    <col min="8698" max="8699" width="13.7109375" style="84" customWidth="1"/>
    <col min="8700" max="8701" width="9.140625" style="84"/>
    <col min="8702" max="8702" width="10" style="84" bestFit="1" customWidth="1"/>
    <col min="8703" max="8703" width="10.140625" style="84" customWidth="1"/>
    <col min="8704" max="8705" width="9.140625" style="84"/>
    <col min="8706" max="8706" width="10.28515625" style="84" bestFit="1" customWidth="1"/>
    <col min="8707" max="8707" width="11.140625" style="84" bestFit="1" customWidth="1"/>
    <col min="8708" max="8708" width="10.5703125" style="84" bestFit="1" customWidth="1"/>
    <col min="8709" max="8709" width="11.28515625" style="84" bestFit="1" customWidth="1"/>
    <col min="8710" max="8950" width="9.140625" style="84"/>
    <col min="8951" max="8951" width="9.85546875" style="84" customWidth="1"/>
    <col min="8952" max="8952" width="4.85546875" style="84" customWidth="1"/>
    <col min="8953" max="8953" width="53" style="84" customWidth="1"/>
    <col min="8954" max="8955" width="13.7109375" style="84" customWidth="1"/>
    <col min="8956" max="8957" width="9.140625" style="84"/>
    <col min="8958" max="8958" width="10" style="84" bestFit="1" customWidth="1"/>
    <col min="8959" max="8959" width="10.140625" style="84" customWidth="1"/>
    <col min="8960" max="8961" width="9.140625" style="84"/>
    <col min="8962" max="8962" width="10.28515625" style="84" bestFit="1" customWidth="1"/>
    <col min="8963" max="8963" width="11.140625" style="84" bestFit="1" customWidth="1"/>
    <col min="8964" max="8964" width="10.5703125" style="84" bestFit="1" customWidth="1"/>
    <col min="8965" max="8965" width="11.28515625" style="84" bestFit="1" customWidth="1"/>
    <col min="8966" max="9206" width="9.140625" style="84"/>
    <col min="9207" max="9207" width="9.85546875" style="84" customWidth="1"/>
    <col min="9208" max="9208" width="4.85546875" style="84" customWidth="1"/>
    <col min="9209" max="9209" width="53" style="84" customWidth="1"/>
    <col min="9210" max="9211" width="13.7109375" style="84" customWidth="1"/>
    <col min="9212" max="9213" width="9.140625" style="84"/>
    <col min="9214" max="9214" width="10" style="84" bestFit="1" customWidth="1"/>
    <col min="9215" max="9215" width="10.140625" style="84" customWidth="1"/>
    <col min="9216" max="9217" width="9.140625" style="84"/>
    <col min="9218" max="9218" width="10.28515625" style="84" bestFit="1" customWidth="1"/>
    <col min="9219" max="9219" width="11.140625" style="84" bestFit="1" customWidth="1"/>
    <col min="9220" max="9220" width="10.5703125" style="84" bestFit="1" customWidth="1"/>
    <col min="9221" max="9221" width="11.28515625" style="84" bestFit="1" customWidth="1"/>
    <col min="9222" max="9462" width="9.140625" style="84"/>
    <col min="9463" max="9463" width="9.85546875" style="84" customWidth="1"/>
    <col min="9464" max="9464" width="4.85546875" style="84" customWidth="1"/>
    <col min="9465" max="9465" width="53" style="84" customWidth="1"/>
    <col min="9466" max="9467" width="13.7109375" style="84" customWidth="1"/>
    <col min="9468" max="9469" width="9.140625" style="84"/>
    <col min="9470" max="9470" width="10" style="84" bestFit="1" customWidth="1"/>
    <col min="9471" max="9471" width="10.140625" style="84" customWidth="1"/>
    <col min="9472" max="9473" width="9.140625" style="84"/>
    <col min="9474" max="9474" width="10.28515625" style="84" bestFit="1" customWidth="1"/>
    <col min="9475" max="9475" width="11.140625" style="84" bestFit="1" customWidth="1"/>
    <col min="9476" max="9476" width="10.5703125" style="84" bestFit="1" customWidth="1"/>
    <col min="9477" max="9477" width="11.28515625" style="84" bestFit="1" customWidth="1"/>
    <col min="9478" max="9718" width="9.140625" style="84"/>
    <col min="9719" max="9719" width="9.85546875" style="84" customWidth="1"/>
    <col min="9720" max="9720" width="4.85546875" style="84" customWidth="1"/>
    <col min="9721" max="9721" width="53" style="84" customWidth="1"/>
    <col min="9722" max="9723" width="13.7109375" style="84" customWidth="1"/>
    <col min="9724" max="9725" width="9.140625" style="84"/>
    <col min="9726" max="9726" width="10" style="84" bestFit="1" customWidth="1"/>
    <col min="9727" max="9727" width="10.140625" style="84" customWidth="1"/>
    <col min="9728" max="9729" width="9.140625" style="84"/>
    <col min="9730" max="9730" width="10.28515625" style="84" bestFit="1" customWidth="1"/>
    <col min="9731" max="9731" width="11.140625" style="84" bestFit="1" customWidth="1"/>
    <col min="9732" max="9732" width="10.5703125" style="84" bestFit="1" customWidth="1"/>
    <col min="9733" max="9733" width="11.28515625" style="84" bestFit="1" customWidth="1"/>
    <col min="9734" max="9974" width="9.140625" style="84"/>
    <col min="9975" max="9975" width="9.85546875" style="84" customWidth="1"/>
    <col min="9976" max="9976" width="4.85546875" style="84" customWidth="1"/>
    <col min="9977" max="9977" width="53" style="84" customWidth="1"/>
    <col min="9978" max="9979" width="13.7109375" style="84" customWidth="1"/>
    <col min="9980" max="9981" width="9.140625" style="84"/>
    <col min="9982" max="9982" width="10" style="84" bestFit="1" customWidth="1"/>
    <col min="9983" max="9983" width="10.140625" style="84" customWidth="1"/>
    <col min="9984" max="9985" width="9.140625" style="84"/>
    <col min="9986" max="9986" width="10.28515625" style="84" bestFit="1" customWidth="1"/>
    <col min="9987" max="9987" width="11.140625" style="84" bestFit="1" customWidth="1"/>
    <col min="9988" max="9988" width="10.5703125" style="84" bestFit="1" customWidth="1"/>
    <col min="9989" max="9989" width="11.28515625" style="84" bestFit="1" customWidth="1"/>
    <col min="9990" max="10230" width="9.140625" style="84"/>
    <col min="10231" max="10231" width="9.85546875" style="84" customWidth="1"/>
    <col min="10232" max="10232" width="4.85546875" style="84" customWidth="1"/>
    <col min="10233" max="10233" width="53" style="84" customWidth="1"/>
    <col min="10234" max="10235" width="13.7109375" style="84" customWidth="1"/>
    <col min="10236" max="10237" width="9.140625" style="84"/>
    <col min="10238" max="10238" width="10" style="84" bestFit="1" customWidth="1"/>
    <col min="10239" max="10239" width="10.140625" style="84" customWidth="1"/>
    <col min="10240" max="10241" width="9.140625" style="84"/>
    <col min="10242" max="10242" width="10.28515625" style="84" bestFit="1" customWidth="1"/>
    <col min="10243" max="10243" width="11.140625" style="84" bestFit="1" customWidth="1"/>
    <col min="10244" max="10244" width="10.5703125" style="84" bestFit="1" customWidth="1"/>
    <col min="10245" max="10245" width="11.28515625" style="84" bestFit="1" customWidth="1"/>
    <col min="10246" max="10486" width="9.140625" style="84"/>
    <col min="10487" max="10487" width="9.85546875" style="84" customWidth="1"/>
    <col min="10488" max="10488" width="4.85546875" style="84" customWidth="1"/>
    <col min="10489" max="10489" width="53" style="84" customWidth="1"/>
    <col min="10490" max="10491" width="13.7109375" style="84" customWidth="1"/>
    <col min="10492" max="10493" width="9.140625" style="84"/>
    <col min="10494" max="10494" width="10" style="84" bestFit="1" customWidth="1"/>
    <col min="10495" max="10495" width="10.140625" style="84" customWidth="1"/>
    <col min="10496" max="10497" width="9.140625" style="84"/>
    <col min="10498" max="10498" width="10.28515625" style="84" bestFit="1" customWidth="1"/>
    <col min="10499" max="10499" width="11.140625" style="84" bestFit="1" customWidth="1"/>
    <col min="10500" max="10500" width="10.5703125" style="84" bestFit="1" customWidth="1"/>
    <col min="10501" max="10501" width="11.28515625" style="84" bestFit="1" customWidth="1"/>
    <col min="10502" max="10742" width="9.140625" style="84"/>
    <col min="10743" max="10743" width="9.85546875" style="84" customWidth="1"/>
    <col min="10744" max="10744" width="4.85546875" style="84" customWidth="1"/>
    <col min="10745" max="10745" width="53" style="84" customWidth="1"/>
    <col min="10746" max="10747" width="13.7109375" style="84" customWidth="1"/>
    <col min="10748" max="10749" width="9.140625" style="84"/>
    <col min="10750" max="10750" width="10" style="84" bestFit="1" customWidth="1"/>
    <col min="10751" max="10751" width="10.140625" style="84" customWidth="1"/>
    <col min="10752" max="10753" width="9.140625" style="84"/>
    <col min="10754" max="10754" width="10.28515625" style="84" bestFit="1" customWidth="1"/>
    <col min="10755" max="10755" width="11.140625" style="84" bestFit="1" customWidth="1"/>
    <col min="10756" max="10756" width="10.5703125" style="84" bestFit="1" customWidth="1"/>
    <col min="10757" max="10757" width="11.28515625" style="84" bestFit="1" customWidth="1"/>
    <col min="10758" max="10998" width="9.140625" style="84"/>
    <col min="10999" max="10999" width="9.85546875" style="84" customWidth="1"/>
    <col min="11000" max="11000" width="4.85546875" style="84" customWidth="1"/>
    <col min="11001" max="11001" width="53" style="84" customWidth="1"/>
    <col min="11002" max="11003" width="13.7109375" style="84" customWidth="1"/>
    <col min="11004" max="11005" width="9.140625" style="84"/>
    <col min="11006" max="11006" width="10" style="84" bestFit="1" customWidth="1"/>
    <col min="11007" max="11007" width="10.140625" style="84" customWidth="1"/>
    <col min="11008" max="11009" width="9.140625" style="84"/>
    <col min="11010" max="11010" width="10.28515625" style="84" bestFit="1" customWidth="1"/>
    <col min="11011" max="11011" width="11.140625" style="84" bestFit="1" customWidth="1"/>
    <col min="11012" max="11012" width="10.5703125" style="84" bestFit="1" customWidth="1"/>
    <col min="11013" max="11013" width="11.28515625" style="84" bestFit="1" customWidth="1"/>
    <col min="11014" max="11254" width="9.140625" style="84"/>
    <col min="11255" max="11255" width="9.85546875" style="84" customWidth="1"/>
    <col min="11256" max="11256" width="4.85546875" style="84" customWidth="1"/>
    <col min="11257" max="11257" width="53" style="84" customWidth="1"/>
    <col min="11258" max="11259" width="13.7109375" style="84" customWidth="1"/>
    <col min="11260" max="11261" width="9.140625" style="84"/>
    <col min="11262" max="11262" width="10" style="84" bestFit="1" customWidth="1"/>
    <col min="11263" max="11263" width="10.140625" style="84" customWidth="1"/>
    <col min="11264" max="11265" width="9.140625" style="84"/>
    <col min="11266" max="11266" width="10.28515625" style="84" bestFit="1" customWidth="1"/>
    <col min="11267" max="11267" width="11.140625" style="84" bestFit="1" customWidth="1"/>
    <col min="11268" max="11268" width="10.5703125" style="84" bestFit="1" customWidth="1"/>
    <col min="11269" max="11269" width="11.28515625" style="84" bestFit="1" customWidth="1"/>
    <col min="11270" max="11510" width="9.140625" style="84"/>
    <col min="11511" max="11511" width="9.85546875" style="84" customWidth="1"/>
    <col min="11512" max="11512" width="4.85546875" style="84" customWidth="1"/>
    <col min="11513" max="11513" width="53" style="84" customWidth="1"/>
    <col min="11514" max="11515" width="13.7109375" style="84" customWidth="1"/>
    <col min="11516" max="11517" width="9.140625" style="84"/>
    <col min="11518" max="11518" width="10" style="84" bestFit="1" customWidth="1"/>
    <col min="11519" max="11519" width="10.140625" style="84" customWidth="1"/>
    <col min="11520" max="11521" width="9.140625" style="84"/>
    <col min="11522" max="11522" width="10.28515625" style="84" bestFit="1" customWidth="1"/>
    <col min="11523" max="11523" width="11.140625" style="84" bestFit="1" customWidth="1"/>
    <col min="11524" max="11524" width="10.5703125" style="84" bestFit="1" customWidth="1"/>
    <col min="11525" max="11525" width="11.28515625" style="84" bestFit="1" customWidth="1"/>
    <col min="11526" max="11766" width="9.140625" style="84"/>
    <col min="11767" max="11767" width="9.85546875" style="84" customWidth="1"/>
    <col min="11768" max="11768" width="4.85546875" style="84" customWidth="1"/>
    <col min="11769" max="11769" width="53" style="84" customWidth="1"/>
    <col min="11770" max="11771" width="13.7109375" style="84" customWidth="1"/>
    <col min="11772" max="11773" width="9.140625" style="84"/>
    <col min="11774" max="11774" width="10" style="84" bestFit="1" customWidth="1"/>
    <col min="11775" max="11775" width="10.140625" style="84" customWidth="1"/>
    <col min="11776" max="11777" width="9.140625" style="84"/>
    <col min="11778" max="11778" width="10.28515625" style="84" bestFit="1" customWidth="1"/>
    <col min="11779" max="11779" width="11.140625" style="84" bestFit="1" customWidth="1"/>
    <col min="11780" max="11780" width="10.5703125" style="84" bestFit="1" customWidth="1"/>
    <col min="11781" max="11781" width="11.28515625" style="84" bestFit="1" customWidth="1"/>
    <col min="11782" max="12022" width="9.140625" style="84"/>
    <col min="12023" max="12023" width="9.85546875" style="84" customWidth="1"/>
    <col min="12024" max="12024" width="4.85546875" style="84" customWidth="1"/>
    <col min="12025" max="12025" width="53" style="84" customWidth="1"/>
    <col min="12026" max="12027" width="13.7109375" style="84" customWidth="1"/>
    <col min="12028" max="12029" width="9.140625" style="84"/>
    <col min="12030" max="12030" width="10" style="84" bestFit="1" customWidth="1"/>
    <col min="12031" max="12031" width="10.140625" style="84" customWidth="1"/>
    <col min="12032" max="12033" width="9.140625" style="84"/>
    <col min="12034" max="12034" width="10.28515625" style="84" bestFit="1" customWidth="1"/>
    <col min="12035" max="12035" width="11.140625" style="84" bestFit="1" customWidth="1"/>
    <col min="12036" max="12036" width="10.5703125" style="84" bestFit="1" customWidth="1"/>
    <col min="12037" max="12037" width="11.28515625" style="84" bestFit="1" customWidth="1"/>
    <col min="12038" max="12278" width="9.140625" style="84"/>
    <col min="12279" max="12279" width="9.85546875" style="84" customWidth="1"/>
    <col min="12280" max="12280" width="4.85546875" style="84" customWidth="1"/>
    <col min="12281" max="12281" width="53" style="84" customWidth="1"/>
    <col min="12282" max="12283" width="13.7109375" style="84" customWidth="1"/>
    <col min="12284" max="12285" width="9.140625" style="84"/>
    <col min="12286" max="12286" width="10" style="84" bestFit="1" customWidth="1"/>
    <col min="12287" max="12287" width="10.140625" style="84" customWidth="1"/>
    <col min="12288" max="12289" width="9.140625" style="84"/>
    <col min="12290" max="12290" width="10.28515625" style="84" bestFit="1" customWidth="1"/>
    <col min="12291" max="12291" width="11.140625" style="84" bestFit="1" customWidth="1"/>
    <col min="12292" max="12292" width="10.5703125" style="84" bestFit="1" customWidth="1"/>
    <col min="12293" max="12293" width="11.28515625" style="84" bestFit="1" customWidth="1"/>
    <col min="12294" max="12534" width="9.140625" style="84"/>
    <col min="12535" max="12535" width="9.85546875" style="84" customWidth="1"/>
    <col min="12536" max="12536" width="4.85546875" style="84" customWidth="1"/>
    <col min="12537" max="12537" width="53" style="84" customWidth="1"/>
    <col min="12538" max="12539" width="13.7109375" style="84" customWidth="1"/>
    <col min="12540" max="12541" width="9.140625" style="84"/>
    <col min="12542" max="12542" width="10" style="84" bestFit="1" customWidth="1"/>
    <col min="12543" max="12543" width="10.140625" style="84" customWidth="1"/>
    <col min="12544" max="12545" width="9.140625" style="84"/>
    <col min="12546" max="12546" width="10.28515625" style="84" bestFit="1" customWidth="1"/>
    <col min="12547" max="12547" width="11.140625" style="84" bestFit="1" customWidth="1"/>
    <col min="12548" max="12548" width="10.5703125" style="84" bestFit="1" customWidth="1"/>
    <col min="12549" max="12549" width="11.28515625" style="84" bestFit="1" customWidth="1"/>
    <col min="12550" max="12790" width="9.140625" style="84"/>
    <col min="12791" max="12791" width="9.85546875" style="84" customWidth="1"/>
    <col min="12792" max="12792" width="4.85546875" style="84" customWidth="1"/>
    <col min="12793" max="12793" width="53" style="84" customWidth="1"/>
    <col min="12794" max="12795" width="13.7109375" style="84" customWidth="1"/>
    <col min="12796" max="12797" width="9.140625" style="84"/>
    <col min="12798" max="12798" width="10" style="84" bestFit="1" customWidth="1"/>
    <col min="12799" max="12799" width="10.140625" style="84" customWidth="1"/>
    <col min="12800" max="12801" width="9.140625" style="84"/>
    <col min="12802" max="12802" width="10.28515625" style="84" bestFit="1" customWidth="1"/>
    <col min="12803" max="12803" width="11.140625" style="84" bestFit="1" customWidth="1"/>
    <col min="12804" max="12804" width="10.5703125" style="84" bestFit="1" customWidth="1"/>
    <col min="12805" max="12805" width="11.28515625" style="84" bestFit="1" customWidth="1"/>
    <col min="12806" max="13046" width="9.140625" style="84"/>
    <col min="13047" max="13047" width="9.85546875" style="84" customWidth="1"/>
    <col min="13048" max="13048" width="4.85546875" style="84" customWidth="1"/>
    <col min="13049" max="13049" width="53" style="84" customWidth="1"/>
    <col min="13050" max="13051" width="13.7109375" style="84" customWidth="1"/>
    <col min="13052" max="13053" width="9.140625" style="84"/>
    <col min="13054" max="13054" width="10" style="84" bestFit="1" customWidth="1"/>
    <col min="13055" max="13055" width="10.140625" style="84" customWidth="1"/>
    <col min="13056" max="13057" width="9.140625" style="84"/>
    <col min="13058" max="13058" width="10.28515625" style="84" bestFit="1" customWidth="1"/>
    <col min="13059" max="13059" width="11.140625" style="84" bestFit="1" customWidth="1"/>
    <col min="13060" max="13060" width="10.5703125" style="84" bestFit="1" customWidth="1"/>
    <col min="13061" max="13061" width="11.28515625" style="84" bestFit="1" customWidth="1"/>
    <col min="13062" max="13302" width="9.140625" style="84"/>
    <col min="13303" max="13303" width="9.85546875" style="84" customWidth="1"/>
    <col min="13304" max="13304" width="4.85546875" style="84" customWidth="1"/>
    <col min="13305" max="13305" width="53" style="84" customWidth="1"/>
    <col min="13306" max="13307" width="13.7109375" style="84" customWidth="1"/>
    <col min="13308" max="13309" width="9.140625" style="84"/>
    <col min="13310" max="13310" width="10" style="84" bestFit="1" customWidth="1"/>
    <col min="13311" max="13311" width="10.140625" style="84" customWidth="1"/>
    <col min="13312" max="13313" width="9.140625" style="84"/>
    <col min="13314" max="13314" width="10.28515625" style="84" bestFit="1" customWidth="1"/>
    <col min="13315" max="13315" width="11.140625" style="84" bestFit="1" customWidth="1"/>
    <col min="13316" max="13316" width="10.5703125" style="84" bestFit="1" customWidth="1"/>
    <col min="13317" max="13317" width="11.28515625" style="84" bestFit="1" customWidth="1"/>
    <col min="13318" max="13558" width="9.140625" style="84"/>
    <col min="13559" max="13559" width="9.85546875" style="84" customWidth="1"/>
    <col min="13560" max="13560" width="4.85546875" style="84" customWidth="1"/>
    <col min="13561" max="13561" width="53" style="84" customWidth="1"/>
    <col min="13562" max="13563" width="13.7109375" style="84" customWidth="1"/>
    <col min="13564" max="13565" width="9.140625" style="84"/>
    <col min="13566" max="13566" width="10" style="84" bestFit="1" customWidth="1"/>
    <col min="13567" max="13567" width="10.140625" style="84" customWidth="1"/>
    <col min="13568" max="13569" width="9.140625" style="84"/>
    <col min="13570" max="13570" width="10.28515625" style="84" bestFit="1" customWidth="1"/>
    <col min="13571" max="13571" width="11.140625" style="84" bestFit="1" customWidth="1"/>
    <col min="13572" max="13572" width="10.5703125" style="84" bestFit="1" customWidth="1"/>
    <col min="13573" max="13573" width="11.28515625" style="84" bestFit="1" customWidth="1"/>
    <col min="13574" max="13814" width="9.140625" style="84"/>
    <col min="13815" max="13815" width="9.85546875" style="84" customWidth="1"/>
    <col min="13816" max="13816" width="4.85546875" style="84" customWidth="1"/>
    <col min="13817" max="13817" width="53" style="84" customWidth="1"/>
    <col min="13818" max="13819" width="13.7109375" style="84" customWidth="1"/>
    <col min="13820" max="13821" width="9.140625" style="84"/>
    <col min="13822" max="13822" width="10" style="84" bestFit="1" customWidth="1"/>
    <col min="13823" max="13823" width="10.140625" style="84" customWidth="1"/>
    <col min="13824" max="13825" width="9.140625" style="84"/>
    <col min="13826" max="13826" width="10.28515625" style="84" bestFit="1" customWidth="1"/>
    <col min="13827" max="13827" width="11.140625" style="84" bestFit="1" customWidth="1"/>
    <col min="13828" max="13828" width="10.5703125" style="84" bestFit="1" customWidth="1"/>
    <col min="13829" max="13829" width="11.28515625" style="84" bestFit="1" customWidth="1"/>
    <col min="13830" max="14070" width="9.140625" style="84"/>
    <col min="14071" max="14071" width="9.85546875" style="84" customWidth="1"/>
    <col min="14072" max="14072" width="4.85546875" style="84" customWidth="1"/>
    <col min="14073" max="14073" width="53" style="84" customWidth="1"/>
    <col min="14074" max="14075" width="13.7109375" style="84" customWidth="1"/>
    <col min="14076" max="14077" width="9.140625" style="84"/>
    <col min="14078" max="14078" width="10" style="84" bestFit="1" customWidth="1"/>
    <col min="14079" max="14079" width="10.140625" style="84" customWidth="1"/>
    <col min="14080" max="14081" width="9.140625" style="84"/>
    <col min="14082" max="14082" width="10.28515625" style="84" bestFit="1" customWidth="1"/>
    <col min="14083" max="14083" width="11.140625" style="84" bestFit="1" customWidth="1"/>
    <col min="14084" max="14084" width="10.5703125" style="84" bestFit="1" customWidth="1"/>
    <col min="14085" max="14085" width="11.28515625" style="84" bestFit="1" customWidth="1"/>
    <col min="14086" max="14326" width="9.140625" style="84"/>
    <col min="14327" max="14327" width="9.85546875" style="84" customWidth="1"/>
    <col min="14328" max="14328" width="4.85546875" style="84" customWidth="1"/>
    <col min="14329" max="14329" width="53" style="84" customWidth="1"/>
    <col min="14330" max="14331" width="13.7109375" style="84" customWidth="1"/>
    <col min="14332" max="14333" width="9.140625" style="84"/>
    <col min="14334" max="14334" width="10" style="84" bestFit="1" customWidth="1"/>
    <col min="14335" max="14335" width="10.140625" style="84" customWidth="1"/>
    <col min="14336" max="14337" width="9.140625" style="84"/>
    <col min="14338" max="14338" width="10.28515625" style="84" bestFit="1" customWidth="1"/>
    <col min="14339" max="14339" width="11.140625" style="84" bestFit="1" customWidth="1"/>
    <col min="14340" max="14340" width="10.5703125" style="84" bestFit="1" customWidth="1"/>
    <col min="14341" max="14341" width="11.28515625" style="84" bestFit="1" customWidth="1"/>
    <col min="14342" max="14582" width="9.140625" style="84"/>
    <col min="14583" max="14583" width="9.85546875" style="84" customWidth="1"/>
    <col min="14584" max="14584" width="4.85546875" style="84" customWidth="1"/>
    <col min="14585" max="14585" width="53" style="84" customWidth="1"/>
    <col min="14586" max="14587" width="13.7109375" style="84" customWidth="1"/>
    <col min="14588" max="14589" width="9.140625" style="84"/>
    <col min="14590" max="14590" width="10" style="84" bestFit="1" customWidth="1"/>
    <col min="14591" max="14591" width="10.140625" style="84" customWidth="1"/>
    <col min="14592" max="14593" width="9.140625" style="84"/>
    <col min="14594" max="14594" width="10.28515625" style="84" bestFit="1" customWidth="1"/>
    <col min="14595" max="14595" width="11.140625" style="84" bestFit="1" customWidth="1"/>
    <col min="14596" max="14596" width="10.5703125" style="84" bestFit="1" customWidth="1"/>
    <col min="14597" max="14597" width="11.28515625" style="84" bestFit="1" customWidth="1"/>
    <col min="14598" max="14838" width="9.140625" style="84"/>
    <col min="14839" max="14839" width="9.85546875" style="84" customWidth="1"/>
    <col min="14840" max="14840" width="4.85546875" style="84" customWidth="1"/>
    <col min="14841" max="14841" width="53" style="84" customWidth="1"/>
    <col min="14842" max="14843" width="13.7109375" style="84" customWidth="1"/>
    <col min="14844" max="14845" width="9.140625" style="84"/>
    <col min="14846" max="14846" width="10" style="84" bestFit="1" customWidth="1"/>
    <col min="14847" max="14847" width="10.140625" style="84" customWidth="1"/>
    <col min="14848" max="14849" width="9.140625" style="84"/>
    <col min="14850" max="14850" width="10.28515625" style="84" bestFit="1" customWidth="1"/>
    <col min="14851" max="14851" width="11.140625" style="84" bestFit="1" customWidth="1"/>
    <col min="14852" max="14852" width="10.5703125" style="84" bestFit="1" customWidth="1"/>
    <col min="14853" max="14853" width="11.28515625" style="84" bestFit="1" customWidth="1"/>
    <col min="14854" max="15094" width="9.140625" style="84"/>
    <col min="15095" max="15095" width="9.85546875" style="84" customWidth="1"/>
    <col min="15096" max="15096" width="4.85546875" style="84" customWidth="1"/>
    <col min="15097" max="15097" width="53" style="84" customWidth="1"/>
    <col min="15098" max="15099" width="13.7109375" style="84" customWidth="1"/>
    <col min="15100" max="15101" width="9.140625" style="84"/>
    <col min="15102" max="15102" width="10" style="84" bestFit="1" customWidth="1"/>
    <col min="15103" max="15103" width="10.140625" style="84" customWidth="1"/>
    <col min="15104" max="15105" width="9.140625" style="84"/>
    <col min="15106" max="15106" width="10.28515625" style="84" bestFit="1" customWidth="1"/>
    <col min="15107" max="15107" width="11.140625" style="84" bestFit="1" customWidth="1"/>
    <col min="15108" max="15108" width="10.5703125" style="84" bestFit="1" customWidth="1"/>
    <col min="15109" max="15109" width="11.28515625" style="84" bestFit="1" customWidth="1"/>
    <col min="15110" max="15350" width="9.140625" style="84"/>
    <col min="15351" max="15351" width="9.85546875" style="84" customWidth="1"/>
    <col min="15352" max="15352" width="4.85546875" style="84" customWidth="1"/>
    <col min="15353" max="15353" width="53" style="84" customWidth="1"/>
    <col min="15354" max="15355" width="13.7109375" style="84" customWidth="1"/>
    <col min="15356" max="15357" width="9.140625" style="84"/>
    <col min="15358" max="15358" width="10" style="84" bestFit="1" customWidth="1"/>
    <col min="15359" max="15359" width="10.140625" style="84" customWidth="1"/>
    <col min="15360" max="15361" width="9.140625" style="84"/>
    <col min="15362" max="15362" width="10.28515625" style="84" bestFit="1" customWidth="1"/>
    <col min="15363" max="15363" width="11.140625" style="84" bestFit="1" customWidth="1"/>
    <col min="15364" max="15364" width="10.5703125" style="84" bestFit="1" customWidth="1"/>
    <col min="15365" max="15365" width="11.28515625" style="84" bestFit="1" customWidth="1"/>
    <col min="15366" max="15606" width="9.140625" style="84"/>
    <col min="15607" max="15607" width="9.85546875" style="84" customWidth="1"/>
    <col min="15608" max="15608" width="4.85546875" style="84" customWidth="1"/>
    <col min="15609" max="15609" width="53" style="84" customWidth="1"/>
    <col min="15610" max="15611" width="13.7109375" style="84" customWidth="1"/>
    <col min="15612" max="15613" width="9.140625" style="84"/>
    <col min="15614" max="15614" width="10" style="84" bestFit="1" customWidth="1"/>
    <col min="15615" max="15615" width="10.140625" style="84" customWidth="1"/>
    <col min="15616" max="15617" width="9.140625" style="84"/>
    <col min="15618" max="15618" width="10.28515625" style="84" bestFit="1" customWidth="1"/>
    <col min="15619" max="15619" width="11.140625" style="84" bestFit="1" customWidth="1"/>
    <col min="15620" max="15620" width="10.5703125" style="84" bestFit="1" customWidth="1"/>
    <col min="15621" max="15621" width="11.28515625" style="84" bestFit="1" customWidth="1"/>
    <col min="15622" max="15862" width="9.140625" style="84"/>
    <col min="15863" max="15863" width="9.85546875" style="84" customWidth="1"/>
    <col min="15864" max="15864" width="4.85546875" style="84" customWidth="1"/>
    <col min="15865" max="15865" width="53" style="84" customWidth="1"/>
    <col min="15866" max="15867" width="13.7109375" style="84" customWidth="1"/>
    <col min="15868" max="15869" width="9.140625" style="84"/>
    <col min="15870" max="15870" width="10" style="84" bestFit="1" customWidth="1"/>
    <col min="15871" max="15871" width="10.140625" style="84" customWidth="1"/>
    <col min="15872" max="15873" width="9.140625" style="84"/>
    <col min="15874" max="15874" width="10.28515625" style="84" bestFit="1" customWidth="1"/>
    <col min="15875" max="15875" width="11.140625" style="84" bestFit="1" customWidth="1"/>
    <col min="15876" max="15876" width="10.5703125" style="84" bestFit="1" customWidth="1"/>
    <col min="15877" max="15877" width="11.28515625" style="84" bestFit="1" customWidth="1"/>
    <col min="15878" max="16118" width="9.140625" style="84"/>
    <col min="16119" max="16119" width="9.85546875" style="84" customWidth="1"/>
    <col min="16120" max="16120" width="4.85546875" style="84" customWidth="1"/>
    <col min="16121" max="16121" width="53" style="84" customWidth="1"/>
    <col min="16122" max="16123" width="13.7109375" style="84" customWidth="1"/>
    <col min="16124" max="16125" width="9.140625" style="84"/>
    <col min="16126" max="16126" width="10" style="84" bestFit="1" customWidth="1"/>
    <col min="16127" max="16127" width="10.140625" style="84" customWidth="1"/>
    <col min="16128" max="16129" width="9.140625" style="84"/>
    <col min="16130" max="16130" width="10.28515625" style="84" bestFit="1" customWidth="1"/>
    <col min="16131" max="16131" width="11.140625" style="84" bestFit="1" customWidth="1"/>
    <col min="16132" max="16132" width="10.5703125" style="84" bestFit="1" customWidth="1"/>
    <col min="16133" max="16133" width="11.28515625" style="84" bestFit="1" customWidth="1"/>
    <col min="16134" max="16384" width="9.140625" style="84"/>
  </cols>
  <sheetData>
    <row r="1" spans="1:9" ht="15" customHeight="1" thickBot="1">
      <c r="A1" s="80" t="s">
        <v>195</v>
      </c>
      <c r="B1" s="81"/>
      <c r="C1" s="82"/>
      <c r="D1" s="83"/>
      <c r="E1" s="83"/>
    </row>
    <row r="2" spans="1:9" ht="15" customHeight="1" thickBot="1">
      <c r="A2" s="264" t="s">
        <v>196</v>
      </c>
      <c r="B2" s="265"/>
      <c r="C2" s="265"/>
      <c r="D2" s="265"/>
      <c r="E2" s="265"/>
      <c r="F2" s="265"/>
    </row>
    <row r="3" spans="1:9" ht="16.5" customHeight="1">
      <c r="A3" s="85"/>
      <c r="B3" s="86" t="s">
        <v>197</v>
      </c>
      <c r="C3" s="87">
        <v>41639</v>
      </c>
      <c r="D3" s="266" t="s">
        <v>198</v>
      </c>
      <c r="E3" s="268" t="s">
        <v>199</v>
      </c>
      <c r="F3" s="270" t="s">
        <v>115</v>
      </c>
      <c r="G3" s="235">
        <v>2012</v>
      </c>
      <c r="H3" s="260" t="s">
        <v>293</v>
      </c>
      <c r="I3" s="261"/>
    </row>
    <row r="4" spans="1:9" ht="15" customHeight="1">
      <c r="A4" s="88" t="s">
        <v>200</v>
      </c>
      <c r="B4" s="89"/>
      <c r="C4" s="90" t="s">
        <v>201</v>
      </c>
      <c r="D4" s="267"/>
      <c r="E4" s="269"/>
      <c r="F4" s="271"/>
      <c r="G4" s="236" t="s">
        <v>294</v>
      </c>
      <c r="H4" s="237" t="s">
        <v>118</v>
      </c>
      <c r="I4" s="238" t="s">
        <v>115</v>
      </c>
    </row>
    <row r="5" spans="1:9" ht="15" customHeight="1" thickBot="1">
      <c r="A5" s="91"/>
      <c r="B5" s="92" t="s">
        <v>202</v>
      </c>
      <c r="C5" s="93"/>
      <c r="D5" s="94">
        <f>D6+D12+D13+D17</f>
        <v>103200635.66</v>
      </c>
      <c r="E5" s="95">
        <f>E6+E12+E13+E17</f>
        <v>103558116.23</v>
      </c>
      <c r="F5" s="194">
        <f t="shared" ref="F5:F28" si="0">E5/D5</f>
        <v>1.0034639376755172</v>
      </c>
      <c r="G5" s="239">
        <v>96104032.670000002</v>
      </c>
      <c r="H5" s="214">
        <f>E5-G5</f>
        <v>7454083.5600000024</v>
      </c>
      <c r="I5" s="277">
        <f>H5/G5</f>
        <v>7.7562651149048839E-2</v>
      </c>
    </row>
    <row r="6" spans="1:9">
      <c r="A6" s="97">
        <v>30</v>
      </c>
      <c r="B6" s="98" t="s">
        <v>203</v>
      </c>
      <c r="C6" s="99"/>
      <c r="D6" s="100">
        <f>SUM(D7:D11)</f>
        <v>54015950</v>
      </c>
      <c r="E6" s="101">
        <f>SUM(E7:E11)</f>
        <v>54638167.969999999</v>
      </c>
      <c r="F6" s="195">
        <f t="shared" si="0"/>
        <v>1.0115191525836349</v>
      </c>
      <c r="G6" s="240">
        <v>50863151.649999999</v>
      </c>
      <c r="H6" s="215">
        <f>E6-G6</f>
        <v>3775016.3200000003</v>
      </c>
      <c r="I6" s="278">
        <f t="shared" ref="I6:I69" si="1">H6/G6</f>
        <v>7.4219079973193131E-2</v>
      </c>
    </row>
    <row r="7" spans="1:9">
      <c r="A7" s="102">
        <v>3000</v>
      </c>
      <c r="B7" s="103"/>
      <c r="C7" s="104" t="s">
        <v>204</v>
      </c>
      <c r="D7" s="105">
        <v>52523250</v>
      </c>
      <c r="E7" s="105">
        <v>53122570</v>
      </c>
      <c r="F7" s="196">
        <f t="shared" si="0"/>
        <v>1.0114105657970518</v>
      </c>
      <c r="G7" s="241">
        <v>49234975</v>
      </c>
      <c r="H7" s="216">
        <f t="shared" ref="H7:H70" si="2">E7-G7</f>
        <v>3887595</v>
      </c>
      <c r="I7" s="279">
        <f t="shared" si="1"/>
        <v>7.8960027906990915E-2</v>
      </c>
    </row>
    <row r="8" spans="1:9">
      <c r="A8" s="102">
        <v>3030</v>
      </c>
      <c r="B8" s="103"/>
      <c r="C8" s="104" t="s">
        <v>205</v>
      </c>
      <c r="D8" s="105">
        <v>682700</v>
      </c>
      <c r="E8" s="105">
        <v>700428</v>
      </c>
      <c r="F8" s="196">
        <f t="shared" si="0"/>
        <v>1.0259674820565403</v>
      </c>
      <c r="G8" s="241">
        <v>848625</v>
      </c>
      <c r="H8" s="216">
        <f t="shared" si="2"/>
        <v>-148197</v>
      </c>
      <c r="I8" s="279">
        <f t="shared" si="1"/>
        <v>-0.17463190455148034</v>
      </c>
    </row>
    <row r="9" spans="1:9">
      <c r="A9" s="102">
        <v>3044</v>
      </c>
      <c r="B9" s="103"/>
      <c r="C9" s="104" t="s">
        <v>206</v>
      </c>
      <c r="D9" s="105">
        <v>290000</v>
      </c>
      <c r="E9" s="105">
        <v>314919.27</v>
      </c>
      <c r="F9" s="196">
        <f t="shared" si="0"/>
        <v>1.0859285172413793</v>
      </c>
      <c r="G9" s="241">
        <v>294082.18</v>
      </c>
      <c r="H9" s="216">
        <f t="shared" si="2"/>
        <v>20837.090000000026</v>
      </c>
      <c r="I9" s="279">
        <f t="shared" si="1"/>
        <v>7.085465022056088E-2</v>
      </c>
    </row>
    <row r="10" spans="1:9">
      <c r="A10" s="102">
        <v>3045</v>
      </c>
      <c r="B10" s="103"/>
      <c r="C10" s="104" t="s">
        <v>207</v>
      </c>
      <c r="D10" s="105">
        <v>100000</v>
      </c>
      <c r="E10" s="105">
        <v>91895.039999999994</v>
      </c>
      <c r="F10" s="196">
        <f t="shared" si="0"/>
        <v>0.91895039999999995</v>
      </c>
      <c r="G10" s="241">
        <v>111554.35</v>
      </c>
      <c r="H10" s="216">
        <f t="shared" si="2"/>
        <v>-19659.310000000012</v>
      </c>
      <c r="I10" s="279">
        <f t="shared" si="1"/>
        <v>-0.17623077898800013</v>
      </c>
    </row>
    <row r="11" spans="1:9">
      <c r="A11" s="102">
        <v>3047</v>
      </c>
      <c r="B11" s="103"/>
      <c r="C11" s="106" t="s">
        <v>208</v>
      </c>
      <c r="D11" s="105">
        <v>420000</v>
      </c>
      <c r="E11" s="105">
        <v>408355.66</v>
      </c>
      <c r="F11" s="196">
        <f t="shared" si="0"/>
        <v>0.97227538095238086</v>
      </c>
      <c r="G11" s="241">
        <v>373915.12</v>
      </c>
      <c r="H11" s="216">
        <f t="shared" si="2"/>
        <v>34440.539999999979</v>
      </c>
      <c r="I11" s="279">
        <f t="shared" si="1"/>
        <v>9.210790941002861E-2</v>
      </c>
    </row>
    <row r="12" spans="1:9">
      <c r="A12" s="107">
        <v>32</v>
      </c>
      <c r="B12" s="108" t="s">
        <v>209</v>
      </c>
      <c r="C12" s="109"/>
      <c r="D12" s="110">
        <v>14566369</v>
      </c>
      <c r="E12" s="110">
        <v>14699408.549999999</v>
      </c>
      <c r="F12" s="197">
        <f t="shared" si="0"/>
        <v>1.0091333365233297</v>
      </c>
      <c r="G12" s="242">
        <v>13488171.380000001</v>
      </c>
      <c r="H12" s="217">
        <f t="shared" si="2"/>
        <v>1211237.1699999981</v>
      </c>
      <c r="I12" s="280">
        <f t="shared" si="1"/>
        <v>8.979995403943318E-2</v>
      </c>
    </row>
    <row r="13" spans="1:9" s="112" customFormat="1">
      <c r="A13" s="107" t="s">
        <v>210</v>
      </c>
      <c r="B13" s="108" t="s">
        <v>211</v>
      </c>
      <c r="C13" s="109"/>
      <c r="D13" s="110">
        <f>D14+D15+D16</f>
        <v>34280016.659999996</v>
      </c>
      <c r="E13" s="111">
        <f>E14+E15+E16</f>
        <v>33757463.030000001</v>
      </c>
      <c r="F13" s="197">
        <f t="shared" si="0"/>
        <v>0.984756319252034</v>
      </c>
      <c r="G13" s="242">
        <v>31146338.5</v>
      </c>
      <c r="H13" s="218">
        <f t="shared" si="2"/>
        <v>2611124.5300000012</v>
      </c>
      <c r="I13" s="281">
        <f t="shared" si="1"/>
        <v>8.3834076676460742E-2</v>
      </c>
    </row>
    <row r="14" spans="1:9" s="112" customFormat="1">
      <c r="A14" s="102" t="s">
        <v>212</v>
      </c>
      <c r="B14" s="103"/>
      <c r="C14" s="104" t="s">
        <v>213</v>
      </c>
      <c r="D14" s="105">
        <v>4416624</v>
      </c>
      <c r="E14" s="105">
        <v>4416624</v>
      </c>
      <c r="F14" s="196">
        <f t="shared" si="0"/>
        <v>1</v>
      </c>
      <c r="G14" s="241">
        <v>3498428</v>
      </c>
      <c r="H14" s="216">
        <f t="shared" si="2"/>
        <v>918196</v>
      </c>
      <c r="I14" s="279">
        <f t="shared" si="1"/>
        <v>0.26245959613860853</v>
      </c>
    </row>
    <row r="15" spans="1:9" s="112" customFormat="1">
      <c r="A15" s="102" t="s">
        <v>214</v>
      </c>
      <c r="B15" s="103"/>
      <c r="C15" s="106" t="s">
        <v>215</v>
      </c>
      <c r="D15" s="105">
        <v>18943025</v>
      </c>
      <c r="E15" s="105">
        <v>18943025</v>
      </c>
      <c r="F15" s="196">
        <f t="shared" si="0"/>
        <v>1</v>
      </c>
      <c r="G15" s="241">
        <v>18545097</v>
      </c>
      <c r="H15" s="216">
        <f t="shared" si="2"/>
        <v>397928</v>
      </c>
      <c r="I15" s="279">
        <f t="shared" si="1"/>
        <v>2.1457315645208003E-2</v>
      </c>
    </row>
    <row r="16" spans="1:9" s="112" customFormat="1">
      <c r="A16" s="102" t="s">
        <v>216</v>
      </c>
      <c r="B16" s="103"/>
      <c r="C16" s="106" t="s">
        <v>217</v>
      </c>
      <c r="D16" s="105">
        <v>10920367.66</v>
      </c>
      <c r="E16" s="105">
        <v>10397814.030000001</v>
      </c>
      <c r="F16" s="196">
        <f t="shared" si="0"/>
        <v>0.95214871456076977</v>
      </c>
      <c r="G16" s="241">
        <v>9102813.5</v>
      </c>
      <c r="H16" s="216">
        <f t="shared" si="2"/>
        <v>1295000.5300000012</v>
      </c>
      <c r="I16" s="279">
        <f t="shared" si="1"/>
        <v>0.14226376603233729</v>
      </c>
    </row>
    <row r="17" spans="1:9" s="112" customFormat="1">
      <c r="A17" s="107" t="s">
        <v>218</v>
      </c>
      <c r="B17" s="108" t="s">
        <v>219</v>
      </c>
      <c r="C17" s="109"/>
      <c r="D17" s="110">
        <f>SUM(D18:D21)</f>
        <v>338300</v>
      </c>
      <c r="E17" s="111">
        <f>SUM(E18:E21)</f>
        <v>463076.68</v>
      </c>
      <c r="F17" s="197">
        <f t="shared" si="0"/>
        <v>1.3688344073307714</v>
      </c>
      <c r="G17" s="242">
        <v>606371.14</v>
      </c>
      <c r="H17" s="218">
        <f t="shared" si="2"/>
        <v>-143294.46000000002</v>
      </c>
      <c r="I17" s="281">
        <f t="shared" si="1"/>
        <v>-0.23631477579886143</v>
      </c>
    </row>
    <row r="18" spans="1:9" s="112" customFormat="1">
      <c r="A18" s="102" t="s">
        <v>220</v>
      </c>
      <c r="B18" s="103"/>
      <c r="C18" s="104" t="s">
        <v>221</v>
      </c>
      <c r="D18" s="105">
        <v>0</v>
      </c>
      <c r="E18" s="105">
        <v>0</v>
      </c>
      <c r="F18" s="198" t="s">
        <v>292</v>
      </c>
      <c r="G18" s="241">
        <v>0</v>
      </c>
      <c r="H18" s="216">
        <f t="shared" si="2"/>
        <v>0</v>
      </c>
      <c r="I18" s="282" t="s">
        <v>292</v>
      </c>
    </row>
    <row r="19" spans="1:9" s="112" customFormat="1">
      <c r="A19" s="102">
        <v>382540</v>
      </c>
      <c r="B19" s="103"/>
      <c r="C19" s="104" t="s">
        <v>222</v>
      </c>
      <c r="D19" s="105">
        <v>125000</v>
      </c>
      <c r="E19" s="105">
        <v>167665</v>
      </c>
      <c r="F19" s="196">
        <f t="shared" si="0"/>
        <v>1.3413200000000001</v>
      </c>
      <c r="G19" s="241">
        <v>148134</v>
      </c>
      <c r="H19" s="216">
        <f t="shared" si="2"/>
        <v>19531</v>
      </c>
      <c r="I19" s="279">
        <f t="shared" si="1"/>
        <v>0.13184684137335115</v>
      </c>
    </row>
    <row r="20" spans="1:9" s="112" customFormat="1">
      <c r="A20" s="102">
        <v>3882</v>
      </c>
      <c r="B20" s="103"/>
      <c r="C20" s="104" t="s">
        <v>223</v>
      </c>
      <c r="D20" s="105">
        <v>40000</v>
      </c>
      <c r="E20" s="105">
        <v>67609</v>
      </c>
      <c r="F20" s="196">
        <f t="shared" si="0"/>
        <v>1.6902250000000001</v>
      </c>
      <c r="G20" s="241">
        <v>178724</v>
      </c>
      <c r="H20" s="216">
        <f t="shared" si="2"/>
        <v>-111115</v>
      </c>
      <c r="I20" s="279">
        <f t="shared" si="1"/>
        <v>-0.62171280857635236</v>
      </c>
    </row>
    <row r="21" spans="1:9" s="112" customFormat="1" ht="13.5" thickBot="1">
      <c r="A21" s="102" t="s">
        <v>224</v>
      </c>
      <c r="B21" s="103"/>
      <c r="C21" s="104" t="s">
        <v>225</v>
      </c>
      <c r="D21" s="105">
        <v>173300</v>
      </c>
      <c r="E21" s="105">
        <v>227802.68</v>
      </c>
      <c r="F21" s="196">
        <f t="shared" si="0"/>
        <v>1.3144990190421235</v>
      </c>
      <c r="G21" s="241">
        <v>279513.14</v>
      </c>
      <c r="H21" s="216">
        <f t="shared" si="2"/>
        <v>-51710.460000000021</v>
      </c>
      <c r="I21" s="279">
        <f t="shared" si="1"/>
        <v>-0.18500189293426428</v>
      </c>
    </row>
    <row r="22" spans="1:9" s="112" customFormat="1" ht="13.5" thickBot="1">
      <c r="A22" s="91"/>
      <c r="B22" s="92" t="s">
        <v>226</v>
      </c>
      <c r="C22" s="93"/>
      <c r="D22" s="113">
        <f>D23+D24</f>
        <v>-98377116.36999999</v>
      </c>
      <c r="E22" s="114">
        <f>E23+E24</f>
        <v>-94313660.960000008</v>
      </c>
      <c r="F22" s="199">
        <f t="shared" si="0"/>
        <v>0.95869511569421106</v>
      </c>
      <c r="G22" s="243">
        <v>-87452511.710000008</v>
      </c>
      <c r="H22" s="219">
        <f t="shared" si="2"/>
        <v>-6861149.25</v>
      </c>
      <c r="I22" s="283">
        <f t="shared" si="1"/>
        <v>7.8455714030857757E-2</v>
      </c>
    </row>
    <row r="23" spans="1:9" s="112" customFormat="1" ht="13.5" thickBot="1">
      <c r="A23" s="115" t="s">
        <v>227</v>
      </c>
      <c r="B23" s="116" t="s">
        <v>228</v>
      </c>
      <c r="C23" s="117"/>
      <c r="D23" s="118">
        <v>-12212256</v>
      </c>
      <c r="E23" s="118">
        <v>-11492746.400000002</v>
      </c>
      <c r="F23" s="200">
        <f t="shared" si="0"/>
        <v>0.9410829907266931</v>
      </c>
      <c r="G23" s="244">
        <v>-12517166.17</v>
      </c>
      <c r="H23" s="220">
        <f t="shared" si="2"/>
        <v>1024419.7699999977</v>
      </c>
      <c r="I23" s="284">
        <f t="shared" si="1"/>
        <v>-8.1841189618080915E-2</v>
      </c>
    </row>
    <row r="24" spans="1:9">
      <c r="A24" s="107"/>
      <c r="B24" s="108" t="s">
        <v>229</v>
      </c>
      <c r="C24" s="109"/>
      <c r="D24" s="110">
        <f>D25+D27+D28</f>
        <v>-86164860.36999999</v>
      </c>
      <c r="E24" s="111">
        <f>E25+E27+E28</f>
        <v>-82820914.560000002</v>
      </c>
      <c r="F24" s="200">
        <f t="shared" si="0"/>
        <v>0.96119130471933956</v>
      </c>
      <c r="G24" s="242">
        <v>-74935345.540000007</v>
      </c>
      <c r="H24" s="218">
        <f t="shared" si="2"/>
        <v>-7885569.0199999958</v>
      </c>
      <c r="I24" s="281">
        <f t="shared" si="1"/>
        <v>0.10523163619484119</v>
      </c>
    </row>
    <row r="25" spans="1:9">
      <c r="A25" s="102">
        <v>50</v>
      </c>
      <c r="B25" s="103"/>
      <c r="C25" s="104" t="s">
        <v>230</v>
      </c>
      <c r="D25" s="105">
        <v>-45039169</v>
      </c>
      <c r="E25" s="105">
        <v>-44729115.620000005</v>
      </c>
      <c r="F25" s="196">
        <f t="shared" si="0"/>
        <v>0.99311591694775725</v>
      </c>
      <c r="G25" s="241">
        <v>-40802251.570000008</v>
      </c>
      <c r="H25" s="216">
        <f t="shared" si="2"/>
        <v>-3926864.049999997</v>
      </c>
      <c r="I25" s="279">
        <f t="shared" si="1"/>
        <v>9.6241356760989064E-2</v>
      </c>
    </row>
    <row r="26" spans="1:9">
      <c r="A26" s="119">
        <v>500</v>
      </c>
      <c r="B26" s="120"/>
      <c r="C26" s="121" t="s">
        <v>231</v>
      </c>
      <c r="D26" s="122">
        <v>-33317228</v>
      </c>
      <c r="E26" s="122">
        <v>-33108807.5</v>
      </c>
      <c r="F26" s="201">
        <f t="shared" si="0"/>
        <v>0.99374436252619813</v>
      </c>
      <c r="G26" s="245">
        <v>-30056983.090000004</v>
      </c>
      <c r="H26" s="221">
        <f t="shared" si="2"/>
        <v>-3051824.4099999964</v>
      </c>
      <c r="I26" s="285">
        <f t="shared" si="1"/>
        <v>0.10153462178362613</v>
      </c>
    </row>
    <row r="27" spans="1:9">
      <c r="A27" s="102">
        <v>55</v>
      </c>
      <c r="B27" s="103"/>
      <c r="C27" s="104" t="s">
        <v>232</v>
      </c>
      <c r="D27" s="105">
        <v>-40818005.659999996</v>
      </c>
      <c r="E27" s="105">
        <v>-37822947.190000005</v>
      </c>
      <c r="F27" s="196">
        <f t="shared" si="0"/>
        <v>0.92662408607250923</v>
      </c>
      <c r="G27" s="241">
        <v>-33789317.560000002</v>
      </c>
      <c r="H27" s="216">
        <f t="shared" si="2"/>
        <v>-4033629.6300000027</v>
      </c>
      <c r="I27" s="279">
        <f t="shared" si="1"/>
        <v>0.1193758833050549</v>
      </c>
    </row>
    <row r="28" spans="1:9" s="112" customFormat="1" ht="13.5" thickBot="1">
      <c r="A28" s="123">
        <v>60</v>
      </c>
      <c r="B28" s="124"/>
      <c r="C28" s="125" t="s">
        <v>233</v>
      </c>
      <c r="D28" s="105">
        <v>-307685.70999999996</v>
      </c>
      <c r="E28" s="105">
        <v>-268851.75</v>
      </c>
      <c r="F28" s="196">
        <f t="shared" si="0"/>
        <v>0.87378692367611099</v>
      </c>
      <c r="G28" s="241">
        <v>-343776.41000000003</v>
      </c>
      <c r="H28" s="216">
        <f t="shared" si="2"/>
        <v>74924.660000000033</v>
      </c>
      <c r="I28" s="279">
        <f t="shared" si="1"/>
        <v>-0.21794590268715652</v>
      </c>
    </row>
    <row r="29" spans="1:9" s="112" customFormat="1" ht="13.5" thickBot="1">
      <c r="A29" s="126"/>
      <c r="B29" s="127" t="s">
        <v>234</v>
      </c>
      <c r="C29" s="128"/>
      <c r="D29" s="129">
        <f>D5+D22</f>
        <v>4823519.2900000066</v>
      </c>
      <c r="E29" s="129">
        <f>E5+E22</f>
        <v>9244455.2699999958</v>
      </c>
      <c r="F29" s="202"/>
      <c r="G29" s="246">
        <v>8651520.9599999934</v>
      </c>
      <c r="H29" s="222">
        <f t="shared" si="2"/>
        <v>592934.31000000238</v>
      </c>
      <c r="I29" s="286">
        <f t="shared" si="1"/>
        <v>6.8535268277267497E-2</v>
      </c>
    </row>
    <row r="30" spans="1:9" s="112" customFormat="1" ht="13.5" thickBot="1">
      <c r="A30" s="130"/>
      <c r="B30" s="131" t="s">
        <v>235</v>
      </c>
      <c r="C30" s="132"/>
      <c r="D30" s="133">
        <f>D33+D36+D40+D41+D42+D43+D44+D45+D46+D47+D48+D49</f>
        <v>-14131804.289999999</v>
      </c>
      <c r="E30" s="134">
        <f>E33+E36+E40+E41+E42+E43+E44+E45+E46+E47+E48+E49</f>
        <v>-13204339.619999999</v>
      </c>
      <c r="F30" s="203"/>
      <c r="G30" s="247">
        <v>-12090110.429999998</v>
      </c>
      <c r="H30" s="223">
        <f t="shared" si="2"/>
        <v>-1114229.1900000013</v>
      </c>
      <c r="I30" s="287">
        <f t="shared" si="1"/>
        <v>9.2160381532594621E-2</v>
      </c>
    </row>
    <row r="31" spans="1:9" s="112" customFormat="1" ht="19.5" customHeight="1">
      <c r="A31" s="119"/>
      <c r="B31" s="135" t="s">
        <v>236</v>
      </c>
      <c r="C31" s="121"/>
      <c r="D31" s="122">
        <f>D33+D40+D42+D44+D46+D48</f>
        <v>30264354</v>
      </c>
      <c r="E31" s="122">
        <f>E33+E40+E42+E44+E46+E48</f>
        <v>25679000.18</v>
      </c>
      <c r="F31" s="201">
        <f t="shared" ref="F31:F39" si="3">E31/D31</f>
        <v>0.84848994893464436</v>
      </c>
      <c r="G31" s="245">
        <v>13102727.660000002</v>
      </c>
      <c r="H31" s="221">
        <f t="shared" si="2"/>
        <v>12576272.519999998</v>
      </c>
      <c r="I31" s="285">
        <f t="shared" si="1"/>
        <v>0.95982095074698326</v>
      </c>
    </row>
    <row r="32" spans="1:9" s="112" customFormat="1">
      <c r="A32" s="119"/>
      <c r="B32" s="135" t="s">
        <v>237</v>
      </c>
      <c r="C32" s="121"/>
      <c r="D32" s="122">
        <f>D36+D41+D43+D45+D47+D49</f>
        <v>-44396158.289999999</v>
      </c>
      <c r="E32" s="122">
        <f>E36+E41+E43+E45+E47+E49</f>
        <v>-38883339.800000004</v>
      </c>
      <c r="F32" s="201">
        <f t="shared" si="3"/>
        <v>0.87582667729964991</v>
      </c>
      <c r="G32" s="245">
        <v>-25192838.089999996</v>
      </c>
      <c r="H32" s="221">
        <f t="shared" si="2"/>
        <v>-13690501.710000008</v>
      </c>
      <c r="I32" s="285">
        <f t="shared" si="1"/>
        <v>0.54342832121936646</v>
      </c>
    </row>
    <row r="33" spans="1:9" s="112" customFormat="1">
      <c r="A33" s="102">
        <v>381</v>
      </c>
      <c r="B33" s="103"/>
      <c r="C33" s="104" t="s">
        <v>238</v>
      </c>
      <c r="D33" s="105">
        <v>519119</v>
      </c>
      <c r="E33" s="105">
        <v>438019.42000000004</v>
      </c>
      <c r="F33" s="196">
        <f t="shared" si="3"/>
        <v>0.84377458732968746</v>
      </c>
      <c r="G33" s="241">
        <v>286064.74</v>
      </c>
      <c r="H33" s="216">
        <f t="shared" si="2"/>
        <v>151954.68000000005</v>
      </c>
      <c r="I33" s="279">
        <f t="shared" si="1"/>
        <v>0.53118982786903435</v>
      </c>
    </row>
    <row r="34" spans="1:9" s="112" customFormat="1">
      <c r="A34" s="119">
        <v>3810</v>
      </c>
      <c r="B34" s="120"/>
      <c r="C34" s="121" t="s">
        <v>239</v>
      </c>
      <c r="D34" s="122">
        <v>335000</v>
      </c>
      <c r="E34" s="122">
        <v>186600</v>
      </c>
      <c r="F34" s="201">
        <f t="shared" si="3"/>
        <v>0.55701492537313435</v>
      </c>
      <c r="G34" s="245">
        <v>148119.22</v>
      </c>
      <c r="H34" s="221">
        <f t="shared" si="2"/>
        <v>38480.78</v>
      </c>
      <c r="I34" s="285">
        <f t="shared" si="1"/>
        <v>0.25979599406478104</v>
      </c>
    </row>
    <row r="35" spans="1:9" s="112" customFormat="1">
      <c r="A35" s="119">
        <v>3811</v>
      </c>
      <c r="B35" s="120"/>
      <c r="C35" s="121" t="s">
        <v>240</v>
      </c>
      <c r="D35" s="122">
        <v>177819</v>
      </c>
      <c r="E35" s="122">
        <v>244408.28</v>
      </c>
      <c r="F35" s="201">
        <f t="shared" si="3"/>
        <v>1.3744778679443703</v>
      </c>
      <c r="G35" s="245">
        <v>137043.84</v>
      </c>
      <c r="H35" s="221">
        <f t="shared" si="2"/>
        <v>107364.44</v>
      </c>
      <c r="I35" s="285">
        <f t="shared" si="1"/>
        <v>0.78343134576497564</v>
      </c>
    </row>
    <row r="36" spans="1:9" s="112" customFormat="1">
      <c r="A36" s="102">
        <v>15</v>
      </c>
      <c r="B36" s="103"/>
      <c r="C36" s="104" t="s">
        <v>241</v>
      </c>
      <c r="D36" s="105">
        <v>-42412997.289999999</v>
      </c>
      <c r="E36" s="105">
        <v>-37314062.32</v>
      </c>
      <c r="F36" s="196">
        <f t="shared" si="3"/>
        <v>0.87977895230709835</v>
      </c>
      <c r="G36" s="241">
        <v>-21936322.279999997</v>
      </c>
      <c r="H36" s="216">
        <f t="shared" si="2"/>
        <v>-15377740.040000003</v>
      </c>
      <c r="I36" s="279">
        <f t="shared" si="1"/>
        <v>0.70101723724310661</v>
      </c>
    </row>
    <row r="37" spans="1:9" s="112" customFormat="1">
      <c r="A37" s="119">
        <v>1550</v>
      </c>
      <c r="B37" s="120"/>
      <c r="C37" s="121" t="s">
        <v>242</v>
      </c>
      <c r="D37" s="122">
        <v>-98340</v>
      </c>
      <c r="E37" s="122">
        <v>-323750</v>
      </c>
      <c r="F37" s="201">
        <f t="shared" si="3"/>
        <v>3.2921496847671343</v>
      </c>
      <c r="G37" s="245">
        <v>-1331314</v>
      </c>
      <c r="H37" s="221">
        <f t="shared" si="2"/>
        <v>1007564</v>
      </c>
      <c r="I37" s="285">
        <f t="shared" si="1"/>
        <v>-0.75681920268246261</v>
      </c>
    </row>
    <row r="38" spans="1:9" s="112" customFormat="1">
      <c r="A38" s="119">
        <v>1551</v>
      </c>
      <c r="B38" s="120"/>
      <c r="C38" s="121" t="s">
        <v>243</v>
      </c>
      <c r="D38" s="122">
        <v>-41698085.289999999</v>
      </c>
      <c r="E38" s="122">
        <v>-36577511.32</v>
      </c>
      <c r="F38" s="201">
        <f t="shared" si="3"/>
        <v>0.87719882257452209</v>
      </c>
      <c r="G38" s="245">
        <v>-19889600.18</v>
      </c>
      <c r="H38" s="221">
        <f t="shared" si="2"/>
        <v>-16687911.140000001</v>
      </c>
      <c r="I38" s="285">
        <f t="shared" si="1"/>
        <v>0.83902697836935614</v>
      </c>
    </row>
    <row r="39" spans="1:9" s="112" customFormat="1">
      <c r="A39" s="119">
        <v>1554</v>
      </c>
      <c r="B39" s="120"/>
      <c r="C39" s="121" t="s">
        <v>244</v>
      </c>
      <c r="D39" s="122">
        <v>-484749</v>
      </c>
      <c r="E39" s="122">
        <v>-274677</v>
      </c>
      <c r="F39" s="201">
        <f t="shared" si="3"/>
        <v>0.56663757944833304</v>
      </c>
      <c r="G39" s="245">
        <v>-653124.05999999994</v>
      </c>
      <c r="H39" s="221">
        <f t="shared" si="2"/>
        <v>378447.05999999994</v>
      </c>
      <c r="I39" s="285">
        <f t="shared" si="1"/>
        <v>-0.57944130859304122</v>
      </c>
    </row>
    <row r="40" spans="1:9" s="112" customFormat="1">
      <c r="A40" s="102">
        <v>3502</v>
      </c>
      <c r="B40" s="103"/>
      <c r="C40" s="104" t="s">
        <v>245</v>
      </c>
      <c r="D40" s="105">
        <v>29164235</v>
      </c>
      <c r="E40" s="105">
        <v>24678596.259999998</v>
      </c>
      <c r="F40" s="196">
        <f>E40/D40</f>
        <v>0.84619384873287429</v>
      </c>
      <c r="G40" s="241">
        <v>12588498.520000001</v>
      </c>
      <c r="H40" s="216">
        <f t="shared" si="2"/>
        <v>12090097.739999996</v>
      </c>
      <c r="I40" s="279">
        <f t="shared" si="1"/>
        <v>0.96040824255504575</v>
      </c>
    </row>
    <row r="41" spans="1:9" s="112" customFormat="1">
      <c r="A41" s="102">
        <v>4502</v>
      </c>
      <c r="B41" s="103"/>
      <c r="C41" s="104" t="s">
        <v>246</v>
      </c>
      <c r="D41" s="105">
        <v>-778984</v>
      </c>
      <c r="E41" s="105">
        <v>-768367.78</v>
      </c>
      <c r="F41" s="196">
        <f t="shared" ref="F41:F49" si="4">E41/D41</f>
        <v>0.98637170981688971</v>
      </c>
      <c r="G41" s="241">
        <v>-2072137.74</v>
      </c>
      <c r="H41" s="216">
        <f t="shared" si="2"/>
        <v>1303769.96</v>
      </c>
      <c r="I41" s="279">
        <f t="shared" si="1"/>
        <v>-0.62919077956661318</v>
      </c>
    </row>
    <row r="42" spans="1:9" s="112" customFormat="1" ht="12.75" hidden="1" customHeight="1">
      <c r="A42" s="136" t="s">
        <v>247</v>
      </c>
      <c r="B42" s="137"/>
      <c r="C42" s="104" t="s">
        <v>248</v>
      </c>
      <c r="D42" s="105">
        <v>0</v>
      </c>
      <c r="E42" s="105">
        <v>0</v>
      </c>
      <c r="F42" s="196" t="e">
        <f t="shared" si="4"/>
        <v>#DIV/0!</v>
      </c>
      <c r="G42" s="241">
        <v>0</v>
      </c>
      <c r="H42" s="216">
        <f t="shared" si="2"/>
        <v>0</v>
      </c>
      <c r="I42" s="279" t="e">
        <f t="shared" si="1"/>
        <v>#DIV/0!</v>
      </c>
    </row>
    <row r="43" spans="1:9" s="112" customFormat="1" ht="12.75" hidden="1" customHeight="1">
      <c r="A43" s="136" t="s">
        <v>249</v>
      </c>
      <c r="B43" s="137"/>
      <c r="C43" s="104" t="s">
        <v>250</v>
      </c>
      <c r="D43" s="105">
        <v>0</v>
      </c>
      <c r="E43" s="105">
        <v>0</v>
      </c>
      <c r="F43" s="196" t="e">
        <f t="shared" si="4"/>
        <v>#DIV/0!</v>
      </c>
      <c r="G43" s="241">
        <v>0</v>
      </c>
      <c r="H43" s="216">
        <f t="shared" si="2"/>
        <v>0</v>
      </c>
      <c r="I43" s="279" t="e">
        <f t="shared" si="1"/>
        <v>#DIV/0!</v>
      </c>
    </row>
    <row r="44" spans="1:9" s="112" customFormat="1" ht="12.75" hidden="1" customHeight="1">
      <c r="A44" s="136" t="s">
        <v>251</v>
      </c>
      <c r="B44" s="103"/>
      <c r="C44" s="138" t="s">
        <v>252</v>
      </c>
      <c r="D44" s="105">
        <v>0</v>
      </c>
      <c r="E44" s="105">
        <v>0</v>
      </c>
      <c r="F44" s="196" t="e">
        <f t="shared" si="4"/>
        <v>#DIV/0!</v>
      </c>
      <c r="G44" s="241">
        <v>0</v>
      </c>
      <c r="H44" s="216">
        <f t="shared" si="2"/>
        <v>0</v>
      </c>
      <c r="I44" s="279" t="e">
        <f t="shared" si="1"/>
        <v>#DIV/0!</v>
      </c>
    </row>
    <row r="45" spans="1:9" s="112" customFormat="1" ht="12.75" hidden="1" customHeight="1">
      <c r="A45" s="136" t="s">
        <v>253</v>
      </c>
      <c r="B45" s="103"/>
      <c r="C45" s="138" t="s">
        <v>254</v>
      </c>
      <c r="D45" s="105">
        <v>0</v>
      </c>
      <c r="E45" s="105">
        <v>0</v>
      </c>
      <c r="F45" s="196" t="e">
        <f t="shared" si="4"/>
        <v>#DIV/0!</v>
      </c>
      <c r="G45" s="241">
        <v>0</v>
      </c>
      <c r="H45" s="216">
        <f t="shared" si="2"/>
        <v>0</v>
      </c>
      <c r="I45" s="279" t="e">
        <f t="shared" si="1"/>
        <v>#DIV/0!</v>
      </c>
    </row>
    <row r="46" spans="1:9" s="112" customFormat="1" ht="12.75" hidden="1" customHeight="1">
      <c r="A46" s="102" t="s">
        <v>255</v>
      </c>
      <c r="B46" s="103"/>
      <c r="C46" s="138" t="s">
        <v>256</v>
      </c>
      <c r="D46" s="105">
        <v>0</v>
      </c>
      <c r="E46" s="105">
        <v>0</v>
      </c>
      <c r="F46" s="196" t="e">
        <f t="shared" si="4"/>
        <v>#DIV/0!</v>
      </c>
      <c r="G46" s="241">
        <v>0</v>
      </c>
      <c r="H46" s="216">
        <f t="shared" si="2"/>
        <v>0</v>
      </c>
      <c r="I46" s="279" t="e">
        <f t="shared" si="1"/>
        <v>#DIV/0!</v>
      </c>
    </row>
    <row r="47" spans="1:9" s="112" customFormat="1" ht="12.75" hidden="1" customHeight="1">
      <c r="A47" s="102" t="s">
        <v>257</v>
      </c>
      <c r="B47" s="103"/>
      <c r="C47" s="104" t="s">
        <v>258</v>
      </c>
      <c r="D47" s="105">
        <v>0</v>
      </c>
      <c r="E47" s="105">
        <v>0</v>
      </c>
      <c r="F47" s="196" t="e">
        <f t="shared" si="4"/>
        <v>#DIV/0!</v>
      </c>
      <c r="G47" s="241">
        <v>0</v>
      </c>
      <c r="H47" s="216">
        <f t="shared" si="2"/>
        <v>0</v>
      </c>
      <c r="I47" s="279" t="e">
        <f t="shared" si="1"/>
        <v>#DIV/0!</v>
      </c>
    </row>
    <row r="48" spans="1:9" s="112" customFormat="1">
      <c r="A48" s="139">
        <v>382</v>
      </c>
      <c r="B48" s="137"/>
      <c r="C48" s="104" t="s">
        <v>259</v>
      </c>
      <c r="D48" s="105">
        <v>581000</v>
      </c>
      <c r="E48" s="105">
        <v>562384.5</v>
      </c>
      <c r="F48" s="196">
        <f t="shared" si="4"/>
        <v>0.9679595524956971</v>
      </c>
      <c r="G48" s="241">
        <v>228164.4</v>
      </c>
      <c r="H48" s="216">
        <f t="shared" si="2"/>
        <v>334220.09999999998</v>
      </c>
      <c r="I48" s="279">
        <f t="shared" si="1"/>
        <v>1.4648214182405317</v>
      </c>
    </row>
    <row r="49" spans="1:9" s="112" customFormat="1" ht="13.5" thickBot="1">
      <c r="A49" s="123">
        <v>65</v>
      </c>
      <c r="B49" s="124"/>
      <c r="C49" s="125" t="s">
        <v>260</v>
      </c>
      <c r="D49" s="105">
        <v>-1204177</v>
      </c>
      <c r="E49" s="105">
        <v>-800909.7</v>
      </c>
      <c r="F49" s="196">
        <f t="shared" si="4"/>
        <v>0.66510961428427873</v>
      </c>
      <c r="G49" s="241">
        <v>-1184378.07</v>
      </c>
      <c r="H49" s="216">
        <f t="shared" si="2"/>
        <v>383468.37000000011</v>
      </c>
      <c r="I49" s="279">
        <f t="shared" si="1"/>
        <v>-0.32377192698274132</v>
      </c>
    </row>
    <row r="50" spans="1:9" s="112" customFormat="1" ht="13.5" thickBot="1">
      <c r="A50" s="140"/>
      <c r="B50" s="141" t="s">
        <v>261</v>
      </c>
      <c r="C50" s="142"/>
      <c r="D50" s="129">
        <f>D29+D30</f>
        <v>-9308284.9999999925</v>
      </c>
      <c r="E50" s="143">
        <f>E29+E30</f>
        <v>-3959884.3500000034</v>
      </c>
      <c r="F50" s="202"/>
      <c r="G50" s="246">
        <v>-3438589.4700000044</v>
      </c>
      <c r="H50" s="224">
        <f t="shared" si="2"/>
        <v>-521294.87999999896</v>
      </c>
      <c r="I50" s="288">
        <f t="shared" si="1"/>
        <v>0.15160137159380013</v>
      </c>
    </row>
    <row r="51" spans="1:9" s="112" customFormat="1" ht="13.5" thickBot="1">
      <c r="A51" s="144"/>
      <c r="B51" s="131" t="s">
        <v>262</v>
      </c>
      <c r="C51" s="132"/>
      <c r="D51" s="133">
        <f>D52+D56</f>
        <v>3893149</v>
      </c>
      <c r="E51" s="134">
        <f>E52+E56</f>
        <v>3893101.8100000005</v>
      </c>
      <c r="F51" s="203">
        <f t="shared" ref="F51:F60" si="5">E51/D51</f>
        <v>0.99998787870692862</v>
      </c>
      <c r="G51" s="247">
        <v>1277848.8800000008</v>
      </c>
      <c r="H51" s="223">
        <f t="shared" si="2"/>
        <v>2615252.9299999997</v>
      </c>
      <c r="I51" s="287">
        <f t="shared" si="1"/>
        <v>2.0466058005231402</v>
      </c>
    </row>
    <row r="52" spans="1:9" s="112" customFormat="1">
      <c r="A52" s="145" t="s">
        <v>263</v>
      </c>
      <c r="B52" s="146"/>
      <c r="C52" s="147" t="s">
        <v>264</v>
      </c>
      <c r="D52" s="148">
        <f>SUM(D53:D55)</f>
        <v>19777548</v>
      </c>
      <c r="E52" s="149">
        <f>SUM(E53:E55)</f>
        <v>19777548</v>
      </c>
      <c r="F52" s="204">
        <f t="shared" si="5"/>
        <v>1</v>
      </c>
      <c r="G52" s="248">
        <v>7398846</v>
      </c>
      <c r="H52" s="225">
        <f t="shared" si="2"/>
        <v>12378702</v>
      </c>
      <c r="I52" s="289">
        <f t="shared" si="1"/>
        <v>1.673058474253958</v>
      </c>
    </row>
    <row r="53" spans="1:9" s="112" customFormat="1">
      <c r="A53" s="150" t="s">
        <v>265</v>
      </c>
      <c r="B53" s="151"/>
      <c r="C53" s="152" t="s">
        <v>266</v>
      </c>
      <c r="D53" s="122">
        <v>19777548</v>
      </c>
      <c r="E53" s="122">
        <v>19777548</v>
      </c>
      <c r="F53" s="201">
        <f t="shared" si="5"/>
        <v>1</v>
      </c>
      <c r="G53" s="245">
        <v>7398846</v>
      </c>
      <c r="H53" s="221">
        <f t="shared" si="2"/>
        <v>12378702</v>
      </c>
      <c r="I53" s="285">
        <f t="shared" si="1"/>
        <v>1.673058474253958</v>
      </c>
    </row>
    <row r="54" spans="1:9" s="112" customFormat="1">
      <c r="A54" s="150" t="s">
        <v>267</v>
      </c>
      <c r="B54" s="151"/>
      <c r="C54" s="152" t="s">
        <v>268</v>
      </c>
      <c r="D54" s="122">
        <v>0</v>
      </c>
      <c r="E54" s="122">
        <v>0</v>
      </c>
      <c r="F54" s="205" t="s">
        <v>292</v>
      </c>
      <c r="G54" s="245">
        <v>0</v>
      </c>
      <c r="H54" s="221">
        <f t="shared" si="2"/>
        <v>0</v>
      </c>
      <c r="I54" s="205" t="s">
        <v>292</v>
      </c>
    </row>
    <row r="55" spans="1:9" s="112" customFormat="1">
      <c r="A55" s="150" t="s">
        <v>269</v>
      </c>
      <c r="B55" s="151"/>
      <c r="C55" s="152" t="s">
        <v>270</v>
      </c>
      <c r="D55" s="122">
        <v>0</v>
      </c>
      <c r="E55" s="122">
        <v>0</v>
      </c>
      <c r="F55" s="205" t="s">
        <v>292</v>
      </c>
      <c r="G55" s="245">
        <v>0</v>
      </c>
      <c r="H55" s="221">
        <f t="shared" si="2"/>
        <v>0</v>
      </c>
      <c r="I55" s="205" t="s">
        <v>292</v>
      </c>
    </row>
    <row r="56" spans="1:9" s="112" customFormat="1">
      <c r="A56" s="153" t="s">
        <v>271</v>
      </c>
      <c r="B56" s="154"/>
      <c r="C56" s="147" t="s">
        <v>272</v>
      </c>
      <c r="D56" s="148">
        <f>SUM(D57:D59)</f>
        <v>-15884399</v>
      </c>
      <c r="E56" s="149">
        <f>SUM(E57:E59)</f>
        <v>-15884446.189999999</v>
      </c>
      <c r="F56" s="204">
        <f t="shared" si="5"/>
        <v>1.0000029708395011</v>
      </c>
      <c r="G56" s="248">
        <v>-6120997.1199999992</v>
      </c>
      <c r="H56" s="225">
        <f t="shared" si="2"/>
        <v>-9763449.0700000003</v>
      </c>
      <c r="I56" s="289">
        <f t="shared" si="1"/>
        <v>1.595074932824017</v>
      </c>
    </row>
    <row r="57" spans="1:9" s="112" customFormat="1">
      <c r="A57" s="150" t="s">
        <v>273</v>
      </c>
      <c r="B57" s="151"/>
      <c r="C57" s="152" t="s">
        <v>266</v>
      </c>
      <c r="D57" s="122">
        <v>-15622171</v>
      </c>
      <c r="E57" s="122">
        <v>-15622170.17</v>
      </c>
      <c r="F57" s="201">
        <f t="shared" si="5"/>
        <v>0.99999994687038052</v>
      </c>
      <c r="G57" s="245">
        <v>-5869996.0999999996</v>
      </c>
      <c r="H57" s="221">
        <f t="shared" si="2"/>
        <v>-9752174.0700000003</v>
      </c>
      <c r="I57" s="285">
        <f t="shared" si="1"/>
        <v>1.6613595484330903</v>
      </c>
    </row>
    <row r="58" spans="1:9" s="112" customFormat="1">
      <c r="A58" s="150" t="s">
        <v>274</v>
      </c>
      <c r="B58" s="151"/>
      <c r="C58" s="152" t="s">
        <v>268</v>
      </c>
      <c r="D58" s="122">
        <v>0</v>
      </c>
      <c r="E58" s="122">
        <v>0</v>
      </c>
      <c r="F58" s="205" t="s">
        <v>292</v>
      </c>
      <c r="G58" s="245">
        <v>0</v>
      </c>
      <c r="H58" s="221">
        <f t="shared" si="2"/>
        <v>0</v>
      </c>
      <c r="I58" s="205" t="s">
        <v>292</v>
      </c>
    </row>
    <row r="59" spans="1:9" s="112" customFormat="1" ht="13.5" thickBot="1">
      <c r="A59" s="150" t="s">
        <v>275</v>
      </c>
      <c r="B59" s="155"/>
      <c r="C59" s="152" t="s">
        <v>270</v>
      </c>
      <c r="D59" s="122">
        <v>-262228</v>
      </c>
      <c r="E59" s="122">
        <v>-262276.01999999996</v>
      </c>
      <c r="F59" s="201">
        <f t="shared" si="5"/>
        <v>1.0001831230837286</v>
      </c>
      <c r="G59" s="245">
        <v>-251001.02</v>
      </c>
      <c r="H59" s="221">
        <f t="shared" si="2"/>
        <v>-11274.999999999971</v>
      </c>
      <c r="I59" s="285">
        <f t="shared" si="1"/>
        <v>4.4920136181119785E-2</v>
      </c>
    </row>
    <row r="60" spans="1:9" s="112" customFormat="1" ht="13.5" thickBot="1">
      <c r="A60" s="130">
        <v>1001</v>
      </c>
      <c r="B60" s="156" t="s">
        <v>276</v>
      </c>
      <c r="C60" s="157"/>
      <c r="D60" s="158">
        <v>-5415135.9999999925</v>
      </c>
      <c r="E60" s="158">
        <v>-66782.539999997913</v>
      </c>
      <c r="F60" s="206">
        <f t="shared" si="5"/>
        <v>1.2332569302044861E-2</v>
      </c>
      <c r="G60" s="249">
        <v>-2160740.5899999933</v>
      </c>
      <c r="H60" s="232">
        <f t="shared" si="2"/>
        <v>2093958.0499999954</v>
      </c>
      <c r="I60" s="290">
        <f t="shared" si="1"/>
        <v>-0.96909275444305043</v>
      </c>
    </row>
    <row r="61" spans="1:9" s="164" customFormat="1" ht="8.25" customHeight="1" thickBot="1">
      <c r="A61" s="159"/>
      <c r="B61" s="160"/>
      <c r="C61" s="161"/>
      <c r="D61" s="162"/>
      <c r="E61" s="163"/>
      <c r="F61" s="207"/>
      <c r="G61" s="250"/>
      <c r="H61" s="234"/>
      <c r="I61" s="291"/>
    </row>
    <row r="62" spans="1:9" ht="16.5" customHeight="1">
      <c r="A62" s="165"/>
      <c r="B62" s="272" t="s">
        <v>277</v>
      </c>
      <c r="C62" s="273"/>
      <c r="D62" s="166">
        <f>SUM(D63:D71)</f>
        <v>98272837.659999996</v>
      </c>
      <c r="E62" s="167">
        <f>SUM(E63:E71)</f>
        <v>94224386.76000002</v>
      </c>
      <c r="F62" s="208">
        <f>E62/D62</f>
        <v>0.95880396866114082</v>
      </c>
      <c r="G62" s="251">
        <v>87713211.799999997</v>
      </c>
      <c r="H62" s="233">
        <f t="shared" si="2"/>
        <v>6511174.9600000232</v>
      </c>
      <c r="I62" s="292">
        <f t="shared" si="1"/>
        <v>7.4232545204780925E-2</v>
      </c>
    </row>
    <row r="63" spans="1:9" s="172" customFormat="1">
      <c r="A63" s="168" t="s">
        <v>278</v>
      </c>
      <c r="B63" s="169" t="s">
        <v>189</v>
      </c>
      <c r="C63" s="170"/>
      <c r="D63" s="171">
        <v>6983136</v>
      </c>
      <c r="E63" s="171">
        <v>6790498.5800000001</v>
      </c>
      <c r="F63" s="209">
        <f>E63/D63</f>
        <v>0.97241390973912012</v>
      </c>
      <c r="G63" s="252">
        <v>6381024.7499999981</v>
      </c>
      <c r="H63" s="226">
        <f t="shared" si="2"/>
        <v>409473.83000000194</v>
      </c>
      <c r="I63" s="293">
        <f t="shared" si="1"/>
        <v>6.4170544080714001E-2</v>
      </c>
    </row>
    <row r="64" spans="1:9" s="172" customFormat="1">
      <c r="A64" s="173" t="s">
        <v>279</v>
      </c>
      <c r="B64" s="174" t="s">
        <v>280</v>
      </c>
      <c r="C64" s="175"/>
      <c r="D64" s="176">
        <v>278893</v>
      </c>
      <c r="E64" s="176">
        <v>274731.15000000002</v>
      </c>
      <c r="F64" s="210">
        <f t="shared" ref="F64:F71" si="6">E64/D64</f>
        <v>0.98507725184927564</v>
      </c>
      <c r="G64" s="253">
        <v>282564.52</v>
      </c>
      <c r="H64" s="227">
        <f t="shared" si="2"/>
        <v>-7833.3699999999953</v>
      </c>
      <c r="I64" s="294">
        <f t="shared" si="1"/>
        <v>-2.7722411858360684E-2</v>
      </c>
    </row>
    <row r="65" spans="1:9" s="172" customFormat="1">
      <c r="A65" s="173" t="s">
        <v>281</v>
      </c>
      <c r="B65" s="174" t="s">
        <v>19</v>
      </c>
      <c r="C65" s="175"/>
      <c r="D65" s="177">
        <v>11890543</v>
      </c>
      <c r="E65" s="177">
        <v>11395523.910000004</v>
      </c>
      <c r="F65" s="210">
        <f t="shared" si="6"/>
        <v>0.95836867248198876</v>
      </c>
      <c r="G65" s="254">
        <v>10689572.260000005</v>
      </c>
      <c r="H65" s="228">
        <f t="shared" si="2"/>
        <v>705951.64999999851</v>
      </c>
      <c r="I65" s="294">
        <f t="shared" si="1"/>
        <v>6.6041150462272866E-2</v>
      </c>
    </row>
    <row r="66" spans="1:9" s="112" customFormat="1">
      <c r="A66" s="173" t="s">
        <v>282</v>
      </c>
      <c r="B66" s="174" t="s">
        <v>51</v>
      </c>
      <c r="C66" s="175"/>
      <c r="D66" s="177">
        <v>5752678</v>
      </c>
      <c r="E66" s="177">
        <v>4978753.0199999996</v>
      </c>
      <c r="F66" s="210">
        <f t="shared" si="6"/>
        <v>0.86546700858278525</v>
      </c>
      <c r="G66" s="254">
        <v>4395817.75</v>
      </c>
      <c r="H66" s="228">
        <f t="shared" si="2"/>
        <v>582935.26999999955</v>
      </c>
      <c r="I66" s="294">
        <f t="shared" si="1"/>
        <v>0.13261133721933752</v>
      </c>
    </row>
    <row r="67" spans="1:9" s="112" customFormat="1">
      <c r="A67" s="173" t="s">
        <v>283</v>
      </c>
      <c r="B67" s="174" t="s">
        <v>284</v>
      </c>
      <c r="C67" s="175"/>
      <c r="D67" s="177">
        <v>2319423.66</v>
      </c>
      <c r="E67" s="177">
        <v>2210481.4500000002</v>
      </c>
      <c r="F67" s="210">
        <f t="shared" si="6"/>
        <v>0.95303048258117706</v>
      </c>
      <c r="G67" s="254">
        <v>1464488.5</v>
      </c>
      <c r="H67" s="228">
        <f t="shared" si="2"/>
        <v>745992.95000000019</v>
      </c>
      <c r="I67" s="294">
        <f t="shared" si="1"/>
        <v>0.50938805596629821</v>
      </c>
    </row>
    <row r="68" spans="1:9" s="112" customFormat="1">
      <c r="A68" s="173" t="s">
        <v>285</v>
      </c>
      <c r="B68" s="174" t="s">
        <v>286</v>
      </c>
      <c r="C68" s="175"/>
      <c r="D68" s="177">
        <v>429780</v>
      </c>
      <c r="E68" s="177">
        <v>395774.23000000004</v>
      </c>
      <c r="F68" s="210">
        <f t="shared" si="6"/>
        <v>0.92087633207687658</v>
      </c>
      <c r="G68" s="254">
        <v>409143.75</v>
      </c>
      <c r="H68" s="228">
        <f t="shared" si="2"/>
        <v>-13369.51999999996</v>
      </c>
      <c r="I68" s="294">
        <f t="shared" si="1"/>
        <v>-3.2676828131921749E-2</v>
      </c>
    </row>
    <row r="69" spans="1:9" s="112" customFormat="1">
      <c r="A69" s="173" t="s">
        <v>287</v>
      </c>
      <c r="B69" s="174" t="s">
        <v>288</v>
      </c>
      <c r="C69" s="175"/>
      <c r="D69" s="177">
        <v>7970230</v>
      </c>
      <c r="E69" s="177">
        <v>7824723.870000001</v>
      </c>
      <c r="F69" s="210">
        <f t="shared" si="6"/>
        <v>0.98174379785777843</v>
      </c>
      <c r="G69" s="254">
        <v>7466206.6699999999</v>
      </c>
      <c r="H69" s="228">
        <f t="shared" si="2"/>
        <v>358517.20000000112</v>
      </c>
      <c r="I69" s="294">
        <f t="shared" si="1"/>
        <v>4.8018654699254544E-2</v>
      </c>
    </row>
    <row r="70" spans="1:9" s="112" customFormat="1">
      <c r="A70" s="173" t="s">
        <v>289</v>
      </c>
      <c r="B70" s="174" t="s">
        <v>80</v>
      </c>
      <c r="C70" s="175"/>
      <c r="D70" s="177">
        <v>53907440</v>
      </c>
      <c r="E70" s="177">
        <v>52042392.230000012</v>
      </c>
      <c r="F70" s="210">
        <f t="shared" si="6"/>
        <v>0.96540277612886105</v>
      </c>
      <c r="G70" s="254">
        <v>48591512.050000004</v>
      </c>
      <c r="H70" s="228">
        <f t="shared" si="2"/>
        <v>3450880.1800000072</v>
      </c>
      <c r="I70" s="294">
        <f t="shared" ref="I70:I81" si="7">H70/G70</f>
        <v>7.1018168285216121E-2</v>
      </c>
    </row>
    <row r="71" spans="1:9" s="112" customFormat="1">
      <c r="A71" s="173" t="s">
        <v>290</v>
      </c>
      <c r="B71" s="174" t="s">
        <v>108</v>
      </c>
      <c r="C71" s="175"/>
      <c r="D71" s="177">
        <v>8740714</v>
      </c>
      <c r="E71" s="177">
        <v>8311508.3200000003</v>
      </c>
      <c r="F71" s="210">
        <f t="shared" si="6"/>
        <v>0.95089581011345303</v>
      </c>
      <c r="G71" s="254">
        <v>8032881.5499999998</v>
      </c>
      <c r="H71" s="228">
        <f t="shared" ref="H71:H81" si="8">E71-G71</f>
        <v>278626.77000000048</v>
      </c>
      <c r="I71" s="294">
        <f t="shared" si="7"/>
        <v>3.4685780969843941E-2</v>
      </c>
    </row>
    <row r="72" spans="1:9">
      <c r="A72" s="178"/>
      <c r="B72" s="262" t="s">
        <v>291</v>
      </c>
      <c r="C72" s="263"/>
      <c r="D72" s="179">
        <f>SUM(D73:D81)</f>
        <v>44500237</v>
      </c>
      <c r="E72" s="180">
        <f>SUM(E73:E81)</f>
        <v>38972614</v>
      </c>
      <c r="F72" s="211">
        <f>E72/D72</f>
        <v>0.87578441436165833</v>
      </c>
      <c r="G72" s="255">
        <v>24932138</v>
      </c>
      <c r="H72" s="229">
        <f t="shared" si="8"/>
        <v>14040476</v>
      </c>
      <c r="I72" s="295">
        <f t="shared" si="7"/>
        <v>0.56314769315010205</v>
      </c>
    </row>
    <row r="73" spans="1:9">
      <c r="A73" s="173" t="s">
        <v>278</v>
      </c>
      <c r="B73" s="174" t="s">
        <v>189</v>
      </c>
      <c r="C73" s="181"/>
      <c r="D73" s="177">
        <v>1207552</v>
      </c>
      <c r="E73" s="182">
        <v>808618</v>
      </c>
      <c r="F73" s="210">
        <f>E73/D73</f>
        <v>0.66963410271358914</v>
      </c>
      <c r="G73" s="256">
        <v>1355299</v>
      </c>
      <c r="H73" s="230">
        <f t="shared" si="8"/>
        <v>-546681</v>
      </c>
      <c r="I73" s="294">
        <f t="shared" si="7"/>
        <v>-0.40336560419508904</v>
      </c>
    </row>
    <row r="74" spans="1:9">
      <c r="A74" s="173" t="s">
        <v>279</v>
      </c>
      <c r="B74" s="174" t="s">
        <v>280</v>
      </c>
      <c r="C74" s="175"/>
      <c r="D74" s="177"/>
      <c r="E74" s="182"/>
      <c r="F74" s="212" t="s">
        <v>292</v>
      </c>
      <c r="G74" s="256">
        <v>0</v>
      </c>
      <c r="H74" s="230">
        <f t="shared" si="8"/>
        <v>0</v>
      </c>
      <c r="I74" s="212" t="s">
        <v>292</v>
      </c>
    </row>
    <row r="75" spans="1:9">
      <c r="A75" s="173" t="s">
        <v>281</v>
      </c>
      <c r="B75" s="174" t="s">
        <v>19</v>
      </c>
      <c r="C75" s="175"/>
      <c r="D75" s="177">
        <v>30908621</v>
      </c>
      <c r="E75" s="182">
        <v>27139895</v>
      </c>
      <c r="F75" s="210">
        <f>E75/D75</f>
        <v>0.87806877569853403</v>
      </c>
      <c r="G75" s="256">
        <v>8435160</v>
      </c>
      <c r="H75" s="230">
        <f t="shared" si="8"/>
        <v>18704735</v>
      </c>
      <c r="I75" s="294">
        <f t="shared" si="7"/>
        <v>2.2174724605105296</v>
      </c>
    </row>
    <row r="76" spans="1:9">
      <c r="A76" s="173" t="s">
        <v>282</v>
      </c>
      <c r="B76" s="174" t="s">
        <v>51</v>
      </c>
      <c r="C76" s="175"/>
      <c r="D76" s="177">
        <v>125150</v>
      </c>
      <c r="E76" s="182">
        <v>146257</v>
      </c>
      <c r="F76" s="210">
        <f t="shared" ref="F76:F81" si="9">E76/D76</f>
        <v>1.1686536156612066</v>
      </c>
      <c r="G76" s="256">
        <v>275270</v>
      </c>
      <c r="H76" s="230">
        <f t="shared" si="8"/>
        <v>-129013</v>
      </c>
      <c r="I76" s="294">
        <f t="shared" si="7"/>
        <v>-0.46867802521161039</v>
      </c>
    </row>
    <row r="77" spans="1:9">
      <c r="A77" s="173" t="s">
        <v>283</v>
      </c>
      <c r="B77" s="174" t="s">
        <v>284</v>
      </c>
      <c r="C77" s="175"/>
      <c r="D77" s="177">
        <v>317500</v>
      </c>
      <c r="E77" s="182">
        <v>462626</v>
      </c>
      <c r="F77" s="210">
        <f t="shared" si="9"/>
        <v>1.4570897637795275</v>
      </c>
      <c r="G77" s="256">
        <v>361753</v>
      </c>
      <c r="H77" s="230">
        <f t="shared" si="8"/>
        <v>100873</v>
      </c>
      <c r="I77" s="294">
        <f t="shared" si="7"/>
        <v>0.2788449577474133</v>
      </c>
    </row>
    <row r="78" spans="1:9">
      <c r="A78" s="173" t="s">
        <v>285</v>
      </c>
      <c r="B78" s="174" t="s">
        <v>286</v>
      </c>
      <c r="C78" s="175"/>
      <c r="D78" s="177"/>
      <c r="E78" s="182"/>
      <c r="F78" s="212" t="s">
        <v>292</v>
      </c>
      <c r="G78" s="256">
        <v>0</v>
      </c>
      <c r="H78" s="230">
        <f t="shared" si="8"/>
        <v>0</v>
      </c>
      <c r="I78" s="212" t="s">
        <v>292</v>
      </c>
    </row>
    <row r="79" spans="1:9">
      <c r="A79" s="173" t="s">
        <v>287</v>
      </c>
      <c r="B79" s="174" t="s">
        <v>288</v>
      </c>
      <c r="C79" s="175"/>
      <c r="D79" s="177">
        <v>3521287</v>
      </c>
      <c r="E79" s="182">
        <v>2743193</v>
      </c>
      <c r="F79" s="210">
        <f>E79/D79</f>
        <v>0.77903135984087635</v>
      </c>
      <c r="G79" s="256">
        <v>2689106</v>
      </c>
      <c r="H79" s="230">
        <f t="shared" si="8"/>
        <v>54087</v>
      </c>
      <c r="I79" s="294">
        <f t="shared" si="7"/>
        <v>2.0113375969560143E-2</v>
      </c>
    </row>
    <row r="80" spans="1:9" s="183" customFormat="1">
      <c r="A80" s="173" t="s">
        <v>289</v>
      </c>
      <c r="B80" s="174" t="s">
        <v>80</v>
      </c>
      <c r="C80" s="175"/>
      <c r="D80" s="177">
        <v>8300789</v>
      </c>
      <c r="E80" s="182">
        <v>7552321</v>
      </c>
      <c r="F80" s="210">
        <f t="shared" si="9"/>
        <v>0.90983170395007029</v>
      </c>
      <c r="G80" s="256">
        <v>11544021</v>
      </c>
      <c r="H80" s="230">
        <f t="shared" si="8"/>
        <v>-3991700</v>
      </c>
      <c r="I80" s="294">
        <f t="shared" si="7"/>
        <v>-0.34578072926236014</v>
      </c>
    </row>
    <row r="81" spans="1:9" s="183" customFormat="1" ht="13.5" thickBot="1">
      <c r="A81" s="184" t="s">
        <v>290</v>
      </c>
      <c r="B81" s="185" t="s">
        <v>108</v>
      </c>
      <c r="C81" s="186"/>
      <c r="D81" s="187">
        <v>119338</v>
      </c>
      <c r="E81" s="188">
        <v>119704</v>
      </c>
      <c r="F81" s="213">
        <f t="shared" si="9"/>
        <v>1.0030669191707586</v>
      </c>
      <c r="G81" s="257">
        <v>271529</v>
      </c>
      <c r="H81" s="231">
        <f t="shared" si="8"/>
        <v>-151825</v>
      </c>
      <c r="I81" s="296">
        <f t="shared" si="7"/>
        <v>-0.55914837825793928</v>
      </c>
    </row>
    <row r="82" spans="1:9" s="183" customFormat="1">
      <c r="A82" s="189"/>
      <c r="B82" s="84"/>
      <c r="C82" s="84"/>
      <c r="D82" s="96"/>
      <c r="E82" s="190"/>
      <c r="F82" s="84"/>
      <c r="G82" s="84"/>
      <c r="H82" s="84"/>
      <c r="I82" s="84"/>
    </row>
    <row r="83" spans="1:9" s="183" customFormat="1">
      <c r="A83" s="189"/>
      <c r="B83" s="84"/>
      <c r="C83" s="84"/>
      <c r="D83" s="96"/>
      <c r="E83" s="190"/>
      <c r="F83" s="190"/>
      <c r="G83" s="190"/>
      <c r="H83" s="84"/>
      <c r="I83" s="84"/>
    </row>
    <row r="84" spans="1:9" s="183" customFormat="1">
      <c r="A84" s="189"/>
      <c r="B84" s="84"/>
      <c r="C84" s="84"/>
      <c r="D84" s="96"/>
      <c r="E84" s="190"/>
      <c r="F84" s="96"/>
      <c r="G84" s="96"/>
      <c r="H84" s="84"/>
      <c r="I84" s="84"/>
    </row>
    <row r="85" spans="1:9" s="183" customFormat="1">
      <c r="A85" s="189"/>
      <c r="B85" s="84"/>
      <c r="C85" s="84"/>
      <c r="D85" s="96"/>
      <c r="E85" s="259"/>
      <c r="F85" s="259"/>
      <c r="G85" s="259"/>
      <c r="H85" s="84"/>
      <c r="I85" s="84"/>
    </row>
    <row r="86" spans="1:9" s="183" customFormat="1">
      <c r="A86" s="189"/>
      <c r="B86" s="84"/>
      <c r="C86" s="84"/>
      <c r="D86" s="96"/>
      <c r="E86" s="190"/>
      <c r="F86" s="84"/>
      <c r="G86" s="84"/>
      <c r="H86" s="84"/>
      <c r="I86" s="84"/>
    </row>
    <row r="87" spans="1:9" s="183" customFormat="1">
      <c r="A87" s="189"/>
      <c r="B87" s="84"/>
      <c r="C87" s="84"/>
      <c r="D87" s="96"/>
      <c r="E87" s="190"/>
      <c r="F87" s="84"/>
      <c r="G87" s="84"/>
      <c r="H87" s="84"/>
      <c r="I87" s="84"/>
    </row>
    <row r="88" spans="1:9" s="183" customFormat="1">
      <c r="A88" s="189"/>
      <c r="B88" s="84"/>
      <c r="C88" s="84"/>
      <c r="D88" s="96"/>
      <c r="E88" s="190"/>
      <c r="F88" s="84"/>
      <c r="G88" s="84"/>
      <c r="H88" s="84"/>
      <c r="I88" s="84"/>
    </row>
    <row r="89" spans="1:9" s="183" customFormat="1">
      <c r="A89" s="189"/>
      <c r="B89" s="84"/>
      <c r="C89" s="84"/>
      <c r="D89" s="96"/>
      <c r="E89" s="190"/>
      <c r="F89" s="84"/>
      <c r="G89" s="84"/>
      <c r="H89" s="84"/>
      <c r="I89" s="84"/>
    </row>
    <row r="90" spans="1:9" s="183" customFormat="1">
      <c r="A90" s="189"/>
      <c r="B90" s="84"/>
      <c r="C90" s="84"/>
      <c r="D90" s="96"/>
      <c r="E90" s="190"/>
      <c r="F90" s="84"/>
      <c r="G90" s="84"/>
      <c r="H90" s="84"/>
      <c r="I90" s="84"/>
    </row>
    <row r="91" spans="1:9" s="183" customFormat="1">
      <c r="A91" s="189"/>
      <c r="B91" s="84"/>
      <c r="C91" s="84"/>
      <c r="D91" s="96"/>
      <c r="E91" s="190"/>
      <c r="F91" s="84"/>
      <c r="G91" s="84"/>
      <c r="H91" s="84"/>
      <c r="I91" s="84"/>
    </row>
    <row r="92" spans="1:9" s="183" customFormat="1">
      <c r="A92" s="189"/>
      <c r="B92" s="84"/>
      <c r="C92" s="84"/>
      <c r="D92" s="96"/>
      <c r="E92" s="190"/>
      <c r="F92" s="84"/>
      <c r="G92" s="84"/>
      <c r="H92" s="84"/>
      <c r="I92" s="84"/>
    </row>
    <row r="93" spans="1:9" s="183" customFormat="1">
      <c r="A93" s="189"/>
      <c r="B93" s="84"/>
      <c r="C93" s="84"/>
      <c r="D93" s="96"/>
      <c r="E93" s="190"/>
      <c r="F93" s="84"/>
      <c r="G93" s="84"/>
      <c r="H93" s="84"/>
      <c r="I93" s="84"/>
    </row>
    <row r="94" spans="1:9" s="183" customFormat="1">
      <c r="A94" s="189"/>
      <c r="B94" s="84"/>
      <c r="C94" s="84"/>
      <c r="D94" s="96"/>
      <c r="E94" s="190"/>
      <c r="F94" s="84"/>
      <c r="G94" s="84"/>
      <c r="H94" s="84"/>
      <c r="I94" s="84"/>
    </row>
    <row r="95" spans="1:9" s="183" customFormat="1">
      <c r="A95" s="189"/>
      <c r="B95" s="84"/>
      <c r="C95" s="84"/>
      <c r="D95" s="96"/>
      <c r="E95" s="190"/>
      <c r="F95" s="84"/>
      <c r="G95" s="84"/>
      <c r="H95" s="84"/>
      <c r="I95" s="84"/>
    </row>
    <row r="96" spans="1:9" s="183" customFormat="1">
      <c r="A96" s="189"/>
      <c r="B96" s="84"/>
      <c r="C96" s="84"/>
      <c r="D96" s="96"/>
      <c r="E96" s="190"/>
      <c r="F96" s="84"/>
      <c r="G96" s="84"/>
      <c r="H96" s="84"/>
      <c r="I96" s="84"/>
    </row>
    <row r="97" spans="1:9" s="183" customFormat="1">
      <c r="A97" s="189"/>
      <c r="B97" s="84"/>
      <c r="C97" s="84"/>
      <c r="D97" s="96"/>
      <c r="E97" s="190"/>
      <c r="F97" s="84"/>
      <c r="G97" s="84"/>
      <c r="H97" s="84"/>
      <c r="I97" s="84"/>
    </row>
    <row r="98" spans="1:9" s="183" customFormat="1">
      <c r="A98" s="189"/>
      <c r="B98" s="84"/>
      <c r="C98" s="84"/>
      <c r="D98" s="96"/>
      <c r="E98" s="190"/>
      <c r="F98" s="84"/>
      <c r="G98" s="84"/>
      <c r="H98" s="84"/>
      <c r="I98" s="84"/>
    </row>
    <row r="99" spans="1:9" s="183" customFormat="1">
      <c r="A99" s="189"/>
      <c r="B99" s="84"/>
      <c r="C99" s="84"/>
      <c r="D99" s="96"/>
      <c r="E99" s="190"/>
      <c r="F99" s="84"/>
      <c r="G99" s="84"/>
      <c r="H99" s="84"/>
      <c r="I99" s="84"/>
    </row>
    <row r="100" spans="1:9" s="183" customFormat="1">
      <c r="A100" s="189"/>
      <c r="B100" s="84"/>
      <c r="C100" s="84"/>
      <c r="D100" s="96"/>
      <c r="E100" s="190"/>
      <c r="F100" s="84"/>
      <c r="G100" s="84"/>
      <c r="H100" s="84"/>
      <c r="I100" s="84"/>
    </row>
    <row r="101" spans="1:9" s="183" customFormat="1">
      <c r="A101" s="189"/>
      <c r="B101" s="84"/>
      <c r="C101" s="84"/>
      <c r="D101" s="96"/>
      <c r="E101" s="190"/>
      <c r="F101" s="84"/>
      <c r="G101" s="84"/>
      <c r="H101" s="84"/>
      <c r="I101" s="84"/>
    </row>
    <row r="102" spans="1:9" s="183" customFormat="1">
      <c r="A102" s="189"/>
      <c r="B102" s="84"/>
      <c r="C102" s="84"/>
      <c r="D102" s="96"/>
      <c r="E102" s="190"/>
      <c r="F102" s="84"/>
      <c r="G102" s="84"/>
      <c r="H102" s="84"/>
      <c r="I102" s="84"/>
    </row>
    <row r="103" spans="1:9" s="183" customFormat="1">
      <c r="A103" s="189"/>
      <c r="B103" s="84"/>
      <c r="C103" s="84"/>
      <c r="D103" s="96"/>
      <c r="E103" s="190"/>
      <c r="F103" s="84"/>
      <c r="G103" s="84"/>
      <c r="H103" s="84"/>
      <c r="I103" s="84"/>
    </row>
    <row r="104" spans="1:9" s="183" customFormat="1">
      <c r="A104" s="189"/>
      <c r="B104" s="84"/>
      <c r="C104" s="84"/>
      <c r="D104" s="96"/>
      <c r="E104" s="190"/>
      <c r="F104" s="84"/>
      <c r="G104" s="84"/>
      <c r="H104" s="84"/>
      <c r="I104" s="84"/>
    </row>
    <row r="105" spans="1:9" s="183" customFormat="1">
      <c r="A105" s="189"/>
      <c r="B105" s="84"/>
      <c r="C105" s="84"/>
      <c r="D105" s="96"/>
      <c r="E105" s="190"/>
      <c r="F105" s="84"/>
      <c r="G105" s="84"/>
      <c r="H105" s="84"/>
      <c r="I105" s="84"/>
    </row>
    <row r="106" spans="1:9" s="183" customFormat="1">
      <c r="A106" s="189"/>
      <c r="B106" s="84"/>
      <c r="C106" s="84"/>
      <c r="D106" s="96"/>
      <c r="E106" s="190"/>
      <c r="F106" s="84"/>
      <c r="G106" s="84"/>
      <c r="H106" s="84"/>
      <c r="I106" s="84"/>
    </row>
    <row r="107" spans="1:9" s="183" customFormat="1">
      <c r="A107" s="189"/>
      <c r="B107" s="84"/>
      <c r="C107" s="84"/>
      <c r="D107" s="96"/>
      <c r="E107" s="190"/>
      <c r="F107" s="84"/>
      <c r="G107" s="84"/>
      <c r="H107" s="84"/>
      <c r="I107" s="84"/>
    </row>
    <row r="108" spans="1:9" s="183" customFormat="1">
      <c r="A108" s="189"/>
      <c r="B108" s="84"/>
      <c r="C108" s="84"/>
      <c r="D108" s="96"/>
      <c r="E108" s="190"/>
      <c r="F108" s="84"/>
      <c r="G108" s="84"/>
      <c r="H108" s="84"/>
      <c r="I108" s="84"/>
    </row>
    <row r="109" spans="1:9" s="183" customFormat="1">
      <c r="A109" s="189"/>
      <c r="B109" s="84"/>
      <c r="C109" s="84"/>
      <c r="D109" s="96"/>
      <c r="E109" s="190"/>
      <c r="F109" s="84"/>
      <c r="G109" s="84"/>
      <c r="H109" s="84"/>
      <c r="I109" s="84"/>
    </row>
    <row r="110" spans="1:9" s="183" customFormat="1">
      <c r="A110" s="189"/>
      <c r="B110" s="84"/>
      <c r="C110" s="84"/>
      <c r="D110" s="96"/>
      <c r="E110" s="190"/>
      <c r="F110" s="84"/>
      <c r="G110" s="84"/>
      <c r="H110" s="84"/>
      <c r="I110" s="84"/>
    </row>
    <row r="111" spans="1:9" s="183" customFormat="1">
      <c r="A111" s="189"/>
      <c r="B111" s="84"/>
      <c r="C111" s="84"/>
      <c r="D111" s="96"/>
      <c r="E111" s="190"/>
      <c r="F111" s="84"/>
      <c r="G111" s="84"/>
      <c r="H111" s="84"/>
      <c r="I111" s="84"/>
    </row>
    <row r="112" spans="1:9" s="183" customFormat="1">
      <c r="A112" s="189"/>
      <c r="B112" s="84"/>
      <c r="C112" s="84"/>
      <c r="D112" s="96"/>
      <c r="E112" s="190"/>
      <c r="F112" s="84"/>
      <c r="G112" s="84"/>
      <c r="H112" s="84"/>
      <c r="I112" s="84"/>
    </row>
    <row r="113" spans="1:9" s="183" customFormat="1">
      <c r="A113" s="189"/>
      <c r="B113" s="84"/>
      <c r="C113" s="84"/>
      <c r="D113" s="96"/>
      <c r="E113" s="190"/>
      <c r="F113" s="84"/>
      <c r="G113" s="84"/>
      <c r="H113" s="84"/>
      <c r="I113" s="84"/>
    </row>
    <row r="114" spans="1:9" s="183" customFormat="1">
      <c r="A114" s="189"/>
      <c r="B114" s="84"/>
      <c r="C114" s="84"/>
      <c r="D114" s="96"/>
      <c r="E114" s="190"/>
      <c r="F114" s="84"/>
      <c r="G114" s="84"/>
      <c r="H114" s="84"/>
      <c r="I114" s="84"/>
    </row>
    <row r="115" spans="1:9" s="183" customFormat="1">
      <c r="A115" s="189"/>
      <c r="B115" s="84"/>
      <c r="C115" s="84"/>
      <c r="D115" s="96"/>
      <c r="E115" s="190"/>
      <c r="F115" s="84"/>
      <c r="G115" s="84"/>
      <c r="H115" s="84"/>
      <c r="I115" s="84"/>
    </row>
    <row r="116" spans="1:9" s="183" customFormat="1">
      <c r="A116" s="189"/>
      <c r="B116" s="84"/>
      <c r="C116" s="84"/>
      <c r="D116" s="96"/>
      <c r="E116" s="190"/>
      <c r="F116" s="84"/>
      <c r="G116" s="84"/>
      <c r="H116" s="84"/>
      <c r="I116" s="84"/>
    </row>
    <row r="117" spans="1:9" s="183" customFormat="1">
      <c r="A117" s="189"/>
      <c r="B117" s="84"/>
      <c r="C117" s="84"/>
      <c r="D117" s="96"/>
      <c r="E117" s="190"/>
      <c r="F117" s="84"/>
      <c r="G117" s="84"/>
      <c r="H117" s="84"/>
      <c r="I117" s="84"/>
    </row>
    <row r="118" spans="1:9" s="183" customFormat="1">
      <c r="A118" s="189"/>
      <c r="B118" s="84"/>
      <c r="C118" s="84"/>
      <c r="D118" s="96"/>
      <c r="E118" s="190"/>
      <c r="F118" s="84"/>
      <c r="G118" s="84"/>
      <c r="H118" s="84"/>
      <c r="I118" s="84"/>
    </row>
    <row r="119" spans="1:9" s="183" customFormat="1">
      <c r="A119" s="189"/>
      <c r="B119" s="84"/>
      <c r="C119" s="84"/>
      <c r="D119" s="96"/>
      <c r="E119" s="190"/>
      <c r="F119" s="84"/>
      <c r="G119" s="84"/>
      <c r="H119" s="84"/>
      <c r="I119" s="84"/>
    </row>
    <row r="120" spans="1:9" s="183" customFormat="1">
      <c r="A120" s="189"/>
      <c r="B120" s="84"/>
      <c r="C120" s="84"/>
      <c r="D120" s="96"/>
      <c r="E120" s="190"/>
      <c r="F120" s="84"/>
      <c r="G120" s="84"/>
      <c r="H120" s="84"/>
      <c r="I120" s="84"/>
    </row>
    <row r="121" spans="1:9" s="183" customFormat="1">
      <c r="A121" s="189"/>
      <c r="B121" s="84"/>
      <c r="C121" s="84"/>
      <c r="D121" s="96"/>
      <c r="E121" s="190"/>
      <c r="F121" s="84"/>
      <c r="G121" s="84"/>
      <c r="H121" s="84"/>
      <c r="I121" s="84"/>
    </row>
    <row r="122" spans="1:9" s="183" customFormat="1">
      <c r="A122" s="189"/>
      <c r="B122" s="84"/>
      <c r="C122" s="84"/>
      <c r="D122" s="96"/>
      <c r="E122" s="190"/>
      <c r="F122" s="84"/>
      <c r="G122" s="84"/>
      <c r="H122" s="84"/>
      <c r="I122" s="84"/>
    </row>
    <row r="123" spans="1:9" s="183" customFormat="1">
      <c r="A123" s="189"/>
      <c r="B123" s="84"/>
      <c r="C123" s="84"/>
      <c r="D123" s="96"/>
      <c r="E123" s="190"/>
      <c r="F123" s="84"/>
      <c r="G123" s="84"/>
      <c r="H123" s="84"/>
      <c r="I123" s="84"/>
    </row>
    <row r="124" spans="1:9" s="183" customFormat="1">
      <c r="A124" s="189"/>
      <c r="B124" s="84"/>
      <c r="C124" s="84"/>
      <c r="D124" s="96"/>
      <c r="E124" s="190"/>
      <c r="F124" s="84"/>
      <c r="G124" s="84"/>
      <c r="H124" s="84"/>
      <c r="I124" s="84"/>
    </row>
    <row r="125" spans="1:9" s="183" customFormat="1">
      <c r="A125" s="189"/>
      <c r="B125" s="84"/>
      <c r="C125" s="84"/>
      <c r="D125" s="96"/>
      <c r="E125" s="190"/>
      <c r="F125" s="84"/>
      <c r="G125" s="84"/>
      <c r="H125" s="84"/>
      <c r="I125" s="84"/>
    </row>
    <row r="126" spans="1:9" s="183" customFormat="1">
      <c r="A126" s="189"/>
      <c r="B126" s="84"/>
      <c r="C126" s="84"/>
      <c r="D126" s="96"/>
      <c r="E126" s="190"/>
      <c r="F126" s="84"/>
      <c r="G126" s="84"/>
      <c r="H126" s="84"/>
      <c r="I126" s="84"/>
    </row>
    <row r="127" spans="1:9" s="183" customFormat="1">
      <c r="A127" s="189"/>
      <c r="B127" s="84"/>
      <c r="C127" s="84"/>
      <c r="D127" s="96"/>
      <c r="E127" s="190"/>
      <c r="F127" s="84"/>
      <c r="G127" s="84"/>
      <c r="H127" s="84"/>
      <c r="I127" s="84"/>
    </row>
    <row r="128" spans="1:9" s="183" customFormat="1">
      <c r="A128" s="189"/>
      <c r="B128" s="84"/>
      <c r="C128" s="84"/>
      <c r="D128" s="96"/>
      <c r="E128" s="190"/>
      <c r="F128" s="84"/>
      <c r="G128" s="84"/>
      <c r="H128" s="84"/>
      <c r="I128" s="84"/>
    </row>
    <row r="129" spans="1:9" s="183" customFormat="1">
      <c r="A129" s="189"/>
      <c r="B129" s="84"/>
      <c r="C129" s="84"/>
      <c r="D129" s="96"/>
      <c r="E129" s="190"/>
      <c r="F129" s="84"/>
      <c r="G129" s="84"/>
      <c r="H129" s="84"/>
      <c r="I129" s="84"/>
    </row>
    <row r="130" spans="1:9" s="183" customFormat="1">
      <c r="A130" s="189"/>
      <c r="B130" s="84"/>
      <c r="C130" s="84"/>
      <c r="D130" s="96"/>
      <c r="E130" s="190"/>
      <c r="F130" s="84"/>
      <c r="G130" s="84"/>
      <c r="H130" s="84"/>
      <c r="I130" s="84"/>
    </row>
    <row r="131" spans="1:9" s="183" customFormat="1">
      <c r="A131" s="189"/>
      <c r="B131" s="84"/>
      <c r="C131" s="84"/>
      <c r="D131" s="96"/>
      <c r="E131" s="190"/>
      <c r="F131" s="84"/>
      <c r="G131" s="84"/>
      <c r="H131" s="84"/>
      <c r="I131" s="84"/>
    </row>
    <row r="132" spans="1:9" s="183" customFormat="1">
      <c r="A132" s="189"/>
      <c r="B132" s="84"/>
      <c r="C132" s="84"/>
      <c r="D132" s="96"/>
      <c r="E132" s="190"/>
      <c r="F132" s="84"/>
      <c r="G132" s="84"/>
      <c r="H132" s="84"/>
      <c r="I132" s="84"/>
    </row>
    <row r="133" spans="1:9" s="183" customFormat="1">
      <c r="A133" s="189"/>
      <c r="B133" s="84"/>
      <c r="C133" s="84"/>
      <c r="D133" s="96"/>
      <c r="E133" s="190"/>
      <c r="F133" s="84"/>
      <c r="G133" s="84"/>
      <c r="H133" s="84"/>
      <c r="I133" s="84"/>
    </row>
    <row r="134" spans="1:9" s="183" customFormat="1">
      <c r="A134" s="189"/>
      <c r="B134" s="84"/>
      <c r="C134" s="84"/>
      <c r="D134" s="96"/>
      <c r="E134" s="190"/>
      <c r="F134" s="84"/>
      <c r="G134" s="84"/>
      <c r="H134" s="84"/>
      <c r="I134" s="84"/>
    </row>
    <row r="135" spans="1:9" s="183" customFormat="1">
      <c r="A135" s="189"/>
      <c r="B135" s="84"/>
      <c r="C135" s="84"/>
      <c r="D135" s="96"/>
      <c r="E135" s="190"/>
      <c r="F135" s="84"/>
      <c r="G135" s="84"/>
      <c r="H135" s="84"/>
      <c r="I135" s="84"/>
    </row>
    <row r="136" spans="1:9" s="183" customFormat="1">
      <c r="A136" s="189"/>
      <c r="B136" s="84"/>
      <c r="C136" s="84"/>
      <c r="D136" s="96"/>
      <c r="E136" s="190"/>
      <c r="F136" s="84"/>
      <c r="G136" s="84"/>
      <c r="H136" s="84"/>
      <c r="I136" s="84"/>
    </row>
    <row r="137" spans="1:9" s="183" customFormat="1">
      <c r="A137" s="189"/>
      <c r="B137" s="84"/>
      <c r="C137" s="84"/>
      <c r="D137" s="96"/>
      <c r="E137" s="190"/>
      <c r="F137" s="84"/>
      <c r="G137" s="84"/>
      <c r="H137" s="84"/>
      <c r="I137" s="84"/>
    </row>
    <row r="138" spans="1:9" s="183" customFormat="1">
      <c r="A138" s="189"/>
      <c r="B138" s="84"/>
      <c r="C138" s="84"/>
      <c r="D138" s="96"/>
      <c r="E138" s="190"/>
      <c r="F138" s="84"/>
      <c r="G138" s="84"/>
      <c r="H138" s="84"/>
      <c r="I138" s="84"/>
    </row>
    <row r="139" spans="1:9" s="183" customFormat="1">
      <c r="A139" s="189"/>
      <c r="B139" s="84"/>
      <c r="C139" s="84"/>
      <c r="D139" s="96"/>
      <c r="E139" s="190"/>
      <c r="F139" s="84"/>
      <c r="G139" s="84"/>
      <c r="H139" s="84"/>
      <c r="I139" s="84"/>
    </row>
    <row r="140" spans="1:9" s="183" customFormat="1">
      <c r="A140" s="189"/>
      <c r="B140" s="84"/>
      <c r="C140" s="84"/>
      <c r="D140" s="96"/>
      <c r="E140" s="190"/>
      <c r="F140" s="84"/>
      <c r="G140" s="84"/>
      <c r="H140" s="84"/>
      <c r="I140" s="84"/>
    </row>
    <row r="141" spans="1:9" s="183" customFormat="1">
      <c r="A141" s="189"/>
      <c r="B141" s="84"/>
      <c r="C141" s="84"/>
      <c r="D141" s="96"/>
      <c r="E141" s="190"/>
      <c r="F141" s="84"/>
      <c r="G141" s="84"/>
      <c r="H141" s="84"/>
      <c r="I141" s="84"/>
    </row>
    <row r="142" spans="1:9" s="183" customFormat="1">
      <c r="A142" s="189"/>
      <c r="B142" s="84"/>
      <c r="C142" s="84"/>
      <c r="D142" s="96"/>
      <c r="E142" s="190"/>
      <c r="F142" s="84"/>
      <c r="G142" s="84"/>
      <c r="H142" s="84"/>
      <c r="I142" s="84"/>
    </row>
    <row r="143" spans="1:9" s="183" customFormat="1">
      <c r="A143" s="189"/>
      <c r="B143" s="84"/>
      <c r="C143" s="84"/>
      <c r="D143" s="96"/>
      <c r="E143" s="190"/>
      <c r="F143" s="84"/>
      <c r="G143" s="84"/>
      <c r="H143" s="84"/>
      <c r="I143" s="84"/>
    </row>
    <row r="144" spans="1:9" s="183" customFormat="1">
      <c r="A144" s="189"/>
      <c r="B144" s="84"/>
      <c r="C144" s="84"/>
      <c r="D144" s="96"/>
      <c r="E144" s="190"/>
      <c r="F144" s="84"/>
      <c r="G144" s="84"/>
      <c r="H144" s="84"/>
      <c r="I144" s="84"/>
    </row>
    <row r="145" spans="1:9" s="183" customFormat="1">
      <c r="A145" s="189"/>
      <c r="B145" s="84"/>
      <c r="C145" s="84"/>
      <c r="D145" s="96"/>
      <c r="E145" s="190"/>
      <c r="F145" s="84"/>
      <c r="G145" s="84"/>
      <c r="H145" s="84"/>
      <c r="I145" s="84"/>
    </row>
    <row r="146" spans="1:9" s="183" customFormat="1">
      <c r="A146" s="189"/>
      <c r="B146" s="84"/>
      <c r="C146" s="84"/>
      <c r="D146" s="96"/>
      <c r="E146" s="190"/>
      <c r="F146" s="84"/>
      <c r="G146" s="84"/>
      <c r="H146" s="84"/>
      <c r="I146" s="84"/>
    </row>
    <row r="147" spans="1:9" s="183" customFormat="1">
      <c r="A147" s="189"/>
      <c r="B147" s="84"/>
      <c r="C147" s="84"/>
      <c r="D147" s="96"/>
      <c r="E147" s="190"/>
      <c r="F147" s="84"/>
      <c r="G147" s="84"/>
      <c r="H147" s="84"/>
      <c r="I147" s="84"/>
    </row>
    <row r="148" spans="1:9" s="183" customFormat="1">
      <c r="A148" s="189"/>
      <c r="B148" s="84"/>
      <c r="C148" s="84"/>
      <c r="D148" s="96"/>
      <c r="E148" s="190"/>
      <c r="F148" s="84"/>
      <c r="G148" s="84"/>
      <c r="H148" s="84"/>
      <c r="I148" s="84"/>
    </row>
    <row r="149" spans="1:9" s="183" customFormat="1">
      <c r="A149" s="189"/>
      <c r="B149" s="84"/>
      <c r="C149" s="84"/>
      <c r="D149" s="191"/>
      <c r="E149" s="192"/>
      <c r="F149" s="84"/>
      <c r="G149" s="84"/>
      <c r="H149" s="84"/>
      <c r="I149" s="84"/>
    </row>
    <row r="150" spans="1:9" s="183" customFormat="1">
      <c r="A150" s="189"/>
      <c r="B150" s="84"/>
      <c r="C150" s="84"/>
      <c r="D150" s="191"/>
      <c r="E150" s="192"/>
      <c r="F150" s="84"/>
      <c r="G150" s="84"/>
      <c r="H150" s="84"/>
      <c r="I150" s="84"/>
    </row>
    <row r="151" spans="1:9" s="183" customFormat="1">
      <c r="A151" s="189"/>
      <c r="B151" s="84"/>
      <c r="C151" s="84"/>
      <c r="D151" s="191"/>
      <c r="E151" s="192"/>
      <c r="F151" s="84"/>
      <c r="G151" s="84"/>
      <c r="H151" s="84"/>
      <c r="I151" s="84"/>
    </row>
    <row r="152" spans="1:9" s="183" customFormat="1">
      <c r="A152" s="189"/>
      <c r="B152" s="84"/>
      <c r="C152" s="84"/>
      <c r="D152" s="191"/>
      <c r="E152" s="192"/>
      <c r="F152" s="84"/>
      <c r="G152" s="84"/>
      <c r="H152" s="84"/>
      <c r="I152" s="84"/>
    </row>
    <row r="153" spans="1:9" s="183" customFormat="1">
      <c r="A153" s="189"/>
      <c r="B153" s="84"/>
      <c r="C153" s="84"/>
      <c r="D153" s="191"/>
      <c r="E153" s="192"/>
      <c r="F153" s="84"/>
      <c r="G153" s="84"/>
      <c r="H153" s="84"/>
      <c r="I153" s="84"/>
    </row>
    <row r="154" spans="1:9" s="183" customFormat="1">
      <c r="A154" s="189"/>
      <c r="B154" s="84"/>
      <c r="C154" s="84"/>
      <c r="D154" s="191"/>
      <c r="E154" s="192"/>
      <c r="F154" s="84"/>
      <c r="G154" s="84"/>
      <c r="H154" s="84"/>
      <c r="I154" s="84"/>
    </row>
    <row r="155" spans="1:9" s="183" customFormat="1">
      <c r="A155" s="189"/>
      <c r="B155" s="84"/>
      <c r="C155" s="84"/>
      <c r="D155" s="191"/>
      <c r="E155" s="192"/>
      <c r="F155" s="84"/>
      <c r="G155" s="84"/>
      <c r="H155" s="84"/>
      <c r="I155" s="84"/>
    </row>
    <row r="156" spans="1:9" s="183" customFormat="1">
      <c r="A156" s="189"/>
      <c r="B156" s="84"/>
      <c r="C156" s="84"/>
      <c r="D156" s="191"/>
      <c r="E156" s="192"/>
      <c r="F156" s="84"/>
      <c r="G156" s="84"/>
      <c r="H156" s="84"/>
      <c r="I156" s="84"/>
    </row>
    <row r="157" spans="1:9" s="183" customFormat="1">
      <c r="A157" s="189"/>
      <c r="B157" s="84"/>
      <c r="C157" s="84"/>
      <c r="D157" s="191"/>
      <c r="E157" s="192"/>
      <c r="F157" s="84"/>
      <c r="G157" s="84"/>
      <c r="H157" s="84"/>
      <c r="I157" s="84"/>
    </row>
    <row r="158" spans="1:9" s="183" customFormat="1">
      <c r="A158" s="189"/>
      <c r="B158" s="84"/>
      <c r="C158" s="84"/>
      <c r="D158" s="191"/>
      <c r="E158" s="192"/>
      <c r="F158" s="84"/>
      <c r="G158" s="84"/>
      <c r="H158" s="84"/>
      <c r="I158" s="84"/>
    </row>
    <row r="159" spans="1:9" s="183" customFormat="1">
      <c r="A159" s="189"/>
      <c r="B159" s="84"/>
      <c r="C159" s="84"/>
      <c r="D159" s="191"/>
      <c r="E159" s="192"/>
      <c r="F159" s="84"/>
      <c r="G159" s="84"/>
      <c r="H159" s="84"/>
      <c r="I159" s="84"/>
    </row>
    <row r="160" spans="1:9" s="183" customFormat="1">
      <c r="A160" s="189"/>
      <c r="B160" s="84"/>
      <c r="C160" s="84"/>
      <c r="D160" s="191"/>
      <c r="E160" s="192"/>
      <c r="F160" s="84"/>
      <c r="G160" s="84"/>
      <c r="H160" s="84"/>
      <c r="I160" s="84"/>
    </row>
    <row r="161" spans="1:9" s="183" customFormat="1">
      <c r="A161" s="189"/>
      <c r="B161" s="84"/>
      <c r="C161" s="84"/>
      <c r="D161" s="191"/>
      <c r="E161" s="192"/>
      <c r="F161" s="84"/>
      <c r="G161" s="84"/>
      <c r="H161" s="84"/>
      <c r="I161" s="84"/>
    </row>
    <row r="162" spans="1:9" s="183" customFormat="1">
      <c r="A162" s="189"/>
      <c r="B162" s="84"/>
      <c r="C162" s="84"/>
      <c r="D162" s="191"/>
      <c r="E162" s="192"/>
      <c r="F162" s="84"/>
      <c r="G162" s="84"/>
      <c r="H162" s="84"/>
      <c r="I162" s="84"/>
    </row>
    <row r="163" spans="1:9" s="183" customFormat="1">
      <c r="A163" s="189"/>
      <c r="B163" s="84"/>
      <c r="C163" s="84"/>
      <c r="D163" s="191"/>
      <c r="E163" s="192"/>
      <c r="F163" s="84"/>
      <c r="G163" s="84"/>
      <c r="H163" s="84"/>
      <c r="I163" s="84"/>
    </row>
    <row r="164" spans="1:9" s="183" customFormat="1">
      <c r="A164" s="189"/>
      <c r="B164" s="84"/>
      <c r="C164" s="84"/>
      <c r="D164" s="191"/>
      <c r="E164" s="192"/>
      <c r="F164" s="84"/>
      <c r="G164" s="84"/>
      <c r="H164" s="84"/>
      <c r="I164" s="84"/>
    </row>
    <row r="165" spans="1:9" s="183" customFormat="1">
      <c r="A165" s="189"/>
      <c r="B165" s="84"/>
      <c r="C165" s="84"/>
      <c r="D165" s="191"/>
      <c r="E165" s="192"/>
      <c r="F165" s="84"/>
      <c r="G165" s="84"/>
      <c r="H165" s="84"/>
      <c r="I165" s="84"/>
    </row>
    <row r="166" spans="1:9" s="183" customFormat="1">
      <c r="A166" s="189"/>
      <c r="B166" s="84"/>
      <c r="C166" s="84"/>
      <c r="D166" s="191"/>
      <c r="E166" s="192"/>
      <c r="F166" s="84"/>
      <c r="G166" s="84"/>
      <c r="H166" s="84"/>
      <c r="I166" s="84"/>
    </row>
    <row r="167" spans="1:9" s="183" customFormat="1">
      <c r="A167" s="189"/>
      <c r="B167" s="84"/>
      <c r="C167" s="84"/>
      <c r="D167" s="191"/>
      <c r="E167" s="192"/>
      <c r="F167" s="84"/>
      <c r="G167" s="84"/>
      <c r="H167" s="84"/>
      <c r="I167" s="84"/>
    </row>
    <row r="168" spans="1:9" s="183" customFormat="1">
      <c r="A168" s="189"/>
      <c r="B168" s="84"/>
      <c r="C168" s="84"/>
      <c r="D168" s="191"/>
      <c r="E168" s="192"/>
      <c r="F168" s="84"/>
      <c r="G168" s="84"/>
      <c r="H168" s="84"/>
      <c r="I168" s="84"/>
    </row>
    <row r="169" spans="1:9" s="183" customFormat="1">
      <c r="A169" s="189"/>
      <c r="B169" s="84"/>
      <c r="C169" s="84"/>
      <c r="D169" s="191"/>
      <c r="E169" s="192"/>
      <c r="F169" s="84"/>
      <c r="G169" s="84"/>
      <c r="H169" s="84"/>
      <c r="I169" s="84"/>
    </row>
    <row r="170" spans="1:9" s="183" customFormat="1">
      <c r="A170" s="189"/>
      <c r="B170" s="84"/>
      <c r="C170" s="84"/>
      <c r="D170" s="191"/>
      <c r="E170" s="192"/>
      <c r="F170" s="84"/>
      <c r="G170" s="84"/>
      <c r="H170" s="84"/>
      <c r="I170" s="84"/>
    </row>
    <row r="171" spans="1:9" s="183" customFormat="1">
      <c r="A171" s="189"/>
      <c r="B171" s="84"/>
      <c r="C171" s="84"/>
      <c r="D171" s="191"/>
      <c r="E171" s="192"/>
      <c r="F171" s="84"/>
      <c r="G171" s="84"/>
      <c r="H171" s="84"/>
      <c r="I171" s="84"/>
    </row>
    <row r="172" spans="1:9" s="183" customFormat="1">
      <c r="A172" s="189"/>
      <c r="B172" s="84"/>
      <c r="C172" s="84"/>
      <c r="D172" s="191"/>
      <c r="E172" s="192"/>
      <c r="F172" s="84"/>
      <c r="G172" s="84"/>
      <c r="H172" s="84"/>
      <c r="I172" s="84"/>
    </row>
    <row r="173" spans="1:9" s="183" customFormat="1">
      <c r="A173" s="189"/>
      <c r="B173" s="84"/>
      <c r="C173" s="84"/>
      <c r="D173" s="191"/>
      <c r="E173" s="192"/>
      <c r="F173" s="84"/>
      <c r="G173" s="84"/>
      <c r="H173" s="84"/>
      <c r="I173" s="84"/>
    </row>
    <row r="174" spans="1:9" s="183" customFormat="1">
      <c r="A174" s="189"/>
      <c r="B174" s="84"/>
      <c r="C174" s="84"/>
      <c r="D174" s="191"/>
      <c r="E174" s="192"/>
      <c r="F174" s="84"/>
      <c r="G174" s="84"/>
      <c r="H174" s="84"/>
      <c r="I174" s="84"/>
    </row>
    <row r="175" spans="1:9" s="183" customFormat="1">
      <c r="A175" s="189"/>
      <c r="B175" s="84"/>
      <c r="C175" s="84"/>
      <c r="D175" s="191"/>
      <c r="E175" s="192"/>
      <c r="F175" s="84"/>
      <c r="G175" s="84"/>
      <c r="H175" s="84"/>
      <c r="I175" s="84"/>
    </row>
    <row r="176" spans="1:9" s="183" customFormat="1">
      <c r="A176" s="189"/>
      <c r="B176" s="84"/>
      <c r="C176" s="84"/>
      <c r="D176" s="191"/>
      <c r="E176" s="192"/>
      <c r="F176" s="84"/>
      <c r="G176" s="84"/>
      <c r="H176" s="84"/>
      <c r="I176" s="84"/>
    </row>
    <row r="177" spans="1:9" s="183" customFormat="1">
      <c r="A177" s="189"/>
      <c r="B177" s="84"/>
      <c r="C177" s="84"/>
      <c r="D177" s="191"/>
      <c r="E177" s="192"/>
      <c r="F177" s="84"/>
      <c r="G177" s="84"/>
      <c r="H177" s="84"/>
      <c r="I177" s="84"/>
    </row>
    <row r="178" spans="1:9" s="183" customFormat="1">
      <c r="A178" s="189"/>
      <c r="B178" s="84"/>
      <c r="C178" s="84"/>
      <c r="D178" s="191"/>
      <c r="E178" s="192"/>
      <c r="F178" s="84"/>
      <c r="G178" s="84"/>
      <c r="H178" s="84"/>
      <c r="I178" s="84"/>
    </row>
    <row r="179" spans="1:9" s="183" customFormat="1">
      <c r="A179" s="189"/>
      <c r="B179" s="84"/>
      <c r="C179" s="84"/>
      <c r="D179" s="191"/>
      <c r="E179" s="192"/>
      <c r="F179" s="84"/>
      <c r="G179" s="84"/>
      <c r="H179" s="84"/>
      <c r="I179" s="84"/>
    </row>
    <row r="180" spans="1:9" s="183" customFormat="1">
      <c r="A180" s="189"/>
      <c r="B180" s="84"/>
      <c r="C180" s="84"/>
      <c r="D180" s="191"/>
      <c r="E180" s="192"/>
      <c r="F180" s="84"/>
      <c r="G180" s="84"/>
      <c r="H180" s="84"/>
      <c r="I180" s="84"/>
    </row>
    <row r="181" spans="1:9" s="183" customFormat="1">
      <c r="A181" s="189"/>
      <c r="B181" s="84"/>
      <c r="C181" s="84"/>
      <c r="D181" s="191"/>
      <c r="E181" s="192"/>
      <c r="F181" s="84"/>
      <c r="G181" s="84"/>
      <c r="H181" s="84"/>
      <c r="I181" s="84"/>
    </row>
    <row r="182" spans="1:9" s="183" customFormat="1">
      <c r="A182" s="189"/>
      <c r="B182" s="84"/>
      <c r="C182" s="84"/>
      <c r="D182" s="191"/>
      <c r="E182" s="192"/>
      <c r="F182" s="84"/>
      <c r="G182" s="84"/>
      <c r="H182" s="84"/>
      <c r="I182" s="84"/>
    </row>
    <row r="183" spans="1:9" s="183" customFormat="1">
      <c r="A183" s="189"/>
      <c r="B183" s="84"/>
      <c r="C183" s="84"/>
      <c r="D183" s="191"/>
      <c r="E183" s="192"/>
      <c r="F183" s="84"/>
      <c r="G183" s="84"/>
      <c r="H183" s="84"/>
      <c r="I183" s="84"/>
    </row>
    <row r="184" spans="1:9" s="183" customFormat="1">
      <c r="A184" s="189"/>
      <c r="B184" s="84"/>
      <c r="C184" s="84"/>
      <c r="D184" s="191"/>
      <c r="E184" s="192"/>
      <c r="F184" s="84"/>
      <c r="G184" s="84"/>
      <c r="H184" s="84"/>
      <c r="I184" s="84"/>
    </row>
    <row r="185" spans="1:9" s="183" customFormat="1">
      <c r="A185" s="189"/>
      <c r="B185" s="84"/>
      <c r="C185" s="84"/>
      <c r="D185" s="191"/>
      <c r="E185" s="192"/>
      <c r="F185" s="84"/>
      <c r="G185" s="84"/>
      <c r="H185" s="84"/>
      <c r="I185" s="84"/>
    </row>
    <row r="186" spans="1:9" s="183" customFormat="1">
      <c r="A186" s="189"/>
      <c r="B186" s="84"/>
      <c r="C186" s="84"/>
      <c r="D186" s="191"/>
      <c r="E186" s="192"/>
      <c r="F186" s="84"/>
      <c r="G186" s="84"/>
      <c r="H186" s="84"/>
      <c r="I186" s="84"/>
    </row>
    <row r="187" spans="1:9" s="183" customFormat="1">
      <c r="A187" s="189"/>
      <c r="B187" s="84"/>
      <c r="C187" s="84"/>
      <c r="D187" s="191"/>
      <c r="E187" s="192"/>
      <c r="F187" s="84"/>
      <c r="G187" s="84"/>
      <c r="H187" s="84"/>
      <c r="I187" s="84"/>
    </row>
    <row r="188" spans="1:9" s="183" customFormat="1">
      <c r="A188" s="189"/>
      <c r="B188" s="84"/>
      <c r="C188" s="84"/>
      <c r="D188" s="191"/>
      <c r="E188" s="192"/>
      <c r="F188" s="84"/>
      <c r="G188" s="84"/>
      <c r="H188" s="84"/>
      <c r="I188" s="84"/>
    </row>
    <row r="189" spans="1:9" s="183" customFormat="1">
      <c r="A189" s="189"/>
      <c r="B189" s="84"/>
      <c r="C189" s="84"/>
      <c r="D189" s="191"/>
      <c r="E189" s="192"/>
      <c r="F189" s="84"/>
      <c r="G189" s="84"/>
      <c r="H189" s="84"/>
      <c r="I189" s="84"/>
    </row>
    <row r="190" spans="1:9" s="183" customFormat="1">
      <c r="A190" s="189"/>
      <c r="B190" s="84"/>
      <c r="C190" s="84"/>
      <c r="D190" s="191"/>
      <c r="E190" s="192"/>
      <c r="F190" s="84"/>
      <c r="G190" s="84"/>
      <c r="H190" s="84"/>
      <c r="I190" s="84"/>
    </row>
    <row r="191" spans="1:9" s="183" customFormat="1">
      <c r="A191" s="189"/>
      <c r="B191" s="84"/>
      <c r="C191" s="84"/>
      <c r="D191" s="191"/>
      <c r="E191" s="192"/>
      <c r="F191" s="84"/>
      <c r="G191" s="84"/>
      <c r="H191" s="84"/>
      <c r="I191" s="84"/>
    </row>
    <row r="192" spans="1:9" s="183" customFormat="1">
      <c r="A192" s="189"/>
      <c r="B192" s="84"/>
      <c r="C192" s="84"/>
      <c r="D192" s="191"/>
      <c r="E192" s="192"/>
      <c r="F192" s="84"/>
      <c r="G192" s="84"/>
      <c r="H192" s="84"/>
      <c r="I192" s="84"/>
    </row>
    <row r="193" spans="1:9" s="183" customFormat="1">
      <c r="A193" s="189"/>
      <c r="B193" s="84"/>
      <c r="C193" s="84"/>
      <c r="D193" s="191"/>
      <c r="E193" s="192"/>
      <c r="F193" s="84"/>
      <c r="G193" s="84"/>
      <c r="H193" s="84"/>
      <c r="I193" s="84"/>
    </row>
    <row r="194" spans="1:9" s="183" customFormat="1">
      <c r="A194" s="189"/>
      <c r="B194" s="84"/>
      <c r="C194" s="84"/>
      <c r="D194" s="191"/>
      <c r="E194" s="192"/>
      <c r="F194" s="84"/>
      <c r="G194" s="84"/>
      <c r="H194" s="84"/>
      <c r="I194" s="84"/>
    </row>
    <row r="195" spans="1:9" s="183" customFormat="1">
      <c r="A195" s="189"/>
      <c r="B195" s="84"/>
      <c r="C195" s="84"/>
      <c r="D195" s="191"/>
      <c r="E195" s="192"/>
      <c r="F195" s="84"/>
      <c r="G195" s="84"/>
      <c r="H195" s="84"/>
      <c r="I195" s="84"/>
    </row>
    <row r="196" spans="1:9" s="183" customFormat="1">
      <c r="A196" s="189"/>
      <c r="B196" s="84"/>
      <c r="C196" s="84"/>
      <c r="D196" s="191"/>
      <c r="E196" s="192"/>
      <c r="F196" s="84"/>
      <c r="G196" s="84"/>
      <c r="H196" s="84"/>
      <c r="I196" s="84"/>
    </row>
    <row r="197" spans="1:9" s="183" customFormat="1">
      <c r="A197" s="189"/>
      <c r="B197" s="84"/>
      <c r="C197" s="84"/>
      <c r="D197" s="191"/>
      <c r="E197" s="192"/>
      <c r="F197" s="84"/>
      <c r="G197" s="84"/>
      <c r="H197" s="84"/>
      <c r="I197" s="84"/>
    </row>
    <row r="198" spans="1:9" s="183" customFormat="1">
      <c r="A198" s="189"/>
      <c r="B198" s="84"/>
      <c r="C198" s="84"/>
      <c r="D198" s="191"/>
      <c r="E198" s="192"/>
      <c r="F198" s="84"/>
      <c r="G198" s="84"/>
      <c r="H198" s="84"/>
      <c r="I198" s="84"/>
    </row>
    <row r="199" spans="1:9" s="183" customFormat="1">
      <c r="A199" s="189"/>
      <c r="B199" s="84"/>
      <c r="C199" s="84"/>
      <c r="D199" s="191"/>
      <c r="E199" s="192"/>
      <c r="F199" s="84"/>
      <c r="G199" s="84"/>
      <c r="H199" s="84"/>
      <c r="I199" s="84"/>
    </row>
    <row r="200" spans="1:9" s="183" customFormat="1">
      <c r="A200" s="189"/>
      <c r="B200" s="84"/>
      <c r="C200" s="84"/>
      <c r="D200" s="191"/>
      <c r="E200" s="192"/>
      <c r="F200" s="84"/>
      <c r="G200" s="84"/>
      <c r="H200" s="84"/>
      <c r="I200" s="84"/>
    </row>
    <row r="201" spans="1:9" s="183" customFormat="1">
      <c r="A201" s="189"/>
      <c r="B201" s="84"/>
      <c r="C201" s="84"/>
      <c r="D201" s="191"/>
      <c r="E201" s="192"/>
      <c r="F201" s="84"/>
      <c r="G201" s="84"/>
      <c r="H201" s="84"/>
      <c r="I201" s="84"/>
    </row>
    <row r="202" spans="1:9" s="183" customFormat="1">
      <c r="A202" s="189"/>
      <c r="B202" s="84"/>
      <c r="C202" s="84"/>
      <c r="D202" s="191"/>
      <c r="E202" s="192"/>
      <c r="F202" s="84"/>
      <c r="G202" s="84"/>
      <c r="H202" s="84"/>
      <c r="I202" s="84"/>
    </row>
    <row r="203" spans="1:9" s="183" customFormat="1">
      <c r="A203" s="189"/>
      <c r="B203" s="84"/>
      <c r="C203" s="84"/>
      <c r="D203" s="191"/>
      <c r="E203" s="192"/>
      <c r="F203" s="84"/>
      <c r="G203" s="84"/>
      <c r="H203" s="84"/>
      <c r="I203" s="84"/>
    </row>
    <row r="204" spans="1:9" s="183" customFormat="1">
      <c r="A204" s="189"/>
      <c r="B204" s="84"/>
      <c r="C204" s="84"/>
      <c r="D204" s="191"/>
      <c r="E204" s="192"/>
      <c r="F204" s="84"/>
      <c r="G204" s="84"/>
      <c r="H204" s="84"/>
      <c r="I204" s="84"/>
    </row>
    <row r="205" spans="1:9" s="183" customFormat="1">
      <c r="A205" s="189"/>
      <c r="B205" s="84"/>
      <c r="C205" s="84"/>
      <c r="D205" s="191"/>
      <c r="E205" s="192"/>
      <c r="F205" s="84"/>
      <c r="G205" s="84"/>
      <c r="H205" s="84"/>
      <c r="I205" s="84"/>
    </row>
    <row r="206" spans="1:9" s="183" customFormat="1">
      <c r="A206" s="189"/>
      <c r="B206" s="84"/>
      <c r="C206" s="84"/>
      <c r="D206" s="191"/>
      <c r="E206" s="192"/>
      <c r="F206" s="84"/>
      <c r="G206" s="84"/>
      <c r="H206" s="84"/>
      <c r="I206" s="84"/>
    </row>
    <row r="207" spans="1:9" s="183" customFormat="1">
      <c r="A207" s="189"/>
      <c r="B207" s="84"/>
      <c r="C207" s="84"/>
      <c r="D207" s="191"/>
      <c r="E207" s="192"/>
      <c r="F207" s="84"/>
      <c r="G207" s="84"/>
      <c r="H207" s="84"/>
      <c r="I207" s="84"/>
    </row>
    <row r="208" spans="1:9" s="183" customFormat="1">
      <c r="A208" s="189"/>
      <c r="B208" s="84"/>
      <c r="C208" s="84"/>
      <c r="D208" s="191"/>
      <c r="E208" s="192"/>
      <c r="F208" s="84"/>
      <c r="G208" s="84"/>
      <c r="H208" s="84"/>
      <c r="I208" s="84"/>
    </row>
  </sheetData>
  <mergeCells count="7">
    <mergeCell ref="H3:I3"/>
    <mergeCell ref="B72:C72"/>
    <mergeCell ref="A2:F2"/>
    <mergeCell ref="D3:D4"/>
    <mergeCell ref="E3:E4"/>
    <mergeCell ref="F3:F4"/>
    <mergeCell ref="B62:C62"/>
  </mergeCells>
  <pageMargins left="0.35433070866141736" right="0.15748031496062992" top="0.98425196850393704" bottom="0.39370078740157483" header="0.51181102362204722" footer="0.51181102362204722"/>
  <pageSetup paperSize="9" scale="75" fitToHeight="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showZeros="0" zoomScale="120" zoomScaleNormal="120" workbookViewId="0">
      <selection activeCell="K17" sqref="K17"/>
    </sheetView>
  </sheetViews>
  <sheetFormatPr defaultRowHeight="15"/>
  <cols>
    <col min="1" max="1" width="5.28515625" style="1" customWidth="1"/>
    <col min="2" max="2" width="2.85546875" style="1" customWidth="1"/>
    <col min="3" max="3" width="38.5703125" style="2" customWidth="1"/>
    <col min="4" max="4" width="4.42578125" style="3" customWidth="1"/>
    <col min="5" max="5" width="13" style="4" hidden="1" customWidth="1"/>
    <col min="6" max="6" width="11.5703125" style="1" customWidth="1"/>
    <col min="7" max="7" width="14.140625" style="1" customWidth="1"/>
    <col min="8" max="8" width="11.140625" style="1" hidden="1" customWidth="1"/>
    <col min="9" max="9" width="10.85546875" style="1" customWidth="1"/>
    <col min="10" max="10" width="13.5703125" style="1" hidden="1" customWidth="1"/>
    <col min="11" max="11" width="13.5703125" style="1" customWidth="1"/>
    <col min="12" max="12" width="16.7109375" style="1" customWidth="1"/>
    <col min="13" max="13" width="13.85546875" style="1" customWidth="1"/>
    <col min="14" max="14" width="15" style="1" customWidth="1"/>
    <col min="15" max="16384" width="9.140625" style="1"/>
  </cols>
  <sheetData>
    <row r="1" spans="1:16">
      <c r="A1" s="10"/>
      <c r="B1" s="10"/>
      <c r="C1" s="274" t="s">
        <v>120</v>
      </c>
      <c r="D1" s="274"/>
      <c r="E1" s="274"/>
      <c r="F1" s="274"/>
      <c r="G1" s="10"/>
      <c r="H1" s="10"/>
      <c r="I1" s="10"/>
    </row>
    <row r="2" spans="1:16">
      <c r="A2" s="10"/>
      <c r="B2" s="10"/>
      <c r="C2" s="258" t="s">
        <v>194</v>
      </c>
      <c r="D2" s="258"/>
      <c r="E2" s="258"/>
      <c r="F2" s="258"/>
      <c r="G2" s="10" t="s">
        <v>118</v>
      </c>
      <c r="H2" s="10"/>
      <c r="I2" s="10"/>
    </row>
    <row r="3" spans="1:16" ht="26.25">
      <c r="A3" s="10"/>
      <c r="B3" s="10"/>
      <c r="C3" s="18"/>
      <c r="D3" s="18"/>
      <c r="E3" s="19" t="s">
        <v>0</v>
      </c>
      <c r="F3" s="20" t="s">
        <v>1</v>
      </c>
      <c r="G3" s="21" t="s">
        <v>122</v>
      </c>
      <c r="H3" s="22" t="s">
        <v>193</v>
      </c>
      <c r="I3" s="23" t="s">
        <v>115</v>
      </c>
    </row>
    <row r="4" spans="1:16">
      <c r="A4" s="22"/>
      <c r="B4" s="22"/>
      <c r="C4" s="24" t="s">
        <v>2</v>
      </c>
      <c r="D4" s="24"/>
      <c r="E4" s="25">
        <f>SUM(E5,E7,E8)</f>
        <v>42848862</v>
      </c>
      <c r="F4" s="25">
        <f>SUM(F5,F7,F8)</f>
        <v>44500236.599999994</v>
      </c>
      <c r="G4" s="25">
        <f t="shared" ref="G4:H4" si="0">SUM(G5,G7,G8)</f>
        <v>38972613.230000004</v>
      </c>
      <c r="H4" s="25">
        <f t="shared" si="0"/>
        <v>3422979.5099999988</v>
      </c>
      <c r="I4" s="26">
        <f>ROUND(G4/F4*100,1)</f>
        <v>87.6</v>
      </c>
    </row>
    <row r="5" spans="1:16">
      <c r="A5" s="22"/>
      <c r="B5" s="22"/>
      <c r="C5" s="27" t="s">
        <v>3</v>
      </c>
      <c r="D5" s="27" t="s">
        <v>4</v>
      </c>
      <c r="E5" s="28">
        <f>SUMIF($D11:$D185,$D5,E11:E185)</f>
        <v>41009088</v>
      </c>
      <c r="F5" s="28">
        <f>SUMIF($D11:$D185,$D5,F11:F185)</f>
        <v>42593694.599999994</v>
      </c>
      <c r="G5" s="28">
        <f>SUMIF($D11:$D185,$D5,G11:G185)</f>
        <v>37480665.75</v>
      </c>
      <c r="H5" s="28">
        <f>SUMIF($D11:$D185,$D5,H11:H185)</f>
        <v>3365966.1999999988</v>
      </c>
      <c r="I5" s="29">
        <f t="shared" ref="I5:I99" si="1">ROUND(G5/F5*100,1)</f>
        <v>88</v>
      </c>
    </row>
    <row r="6" spans="1:16">
      <c r="A6" s="22"/>
      <c r="B6" s="22"/>
      <c r="C6" s="27" t="s">
        <v>5</v>
      </c>
      <c r="D6" s="27"/>
      <c r="E6" s="28">
        <f>SUM(E27,E31,E65,E68,E72,E86,E121,E138,E168)</f>
        <v>28365195</v>
      </c>
      <c r="F6" s="28">
        <f>SUM(F27,F31,F65,F68,F72,F86,F121,F138,F168,F12,F102,F165)</f>
        <v>28176496.300000001</v>
      </c>
      <c r="G6" s="28">
        <f t="shared" ref="G6:H6" si="2">SUM(G27,G31,G65,G68,G72,G86,G121,G138,G168,G12,G102)</f>
        <v>23470462.689999998</v>
      </c>
      <c r="H6" s="28">
        <f t="shared" si="2"/>
        <v>2542821.7999999998</v>
      </c>
      <c r="I6" s="29">
        <f t="shared" si="1"/>
        <v>83.3</v>
      </c>
      <c r="L6" s="10"/>
    </row>
    <row r="7" spans="1:16">
      <c r="A7" s="22"/>
      <c r="B7" s="22"/>
      <c r="C7" s="30" t="s">
        <v>6</v>
      </c>
      <c r="D7" s="30" t="s">
        <v>7</v>
      </c>
      <c r="E7" s="28">
        <f>SUMIF($D11:$D185,$D7,E11:E185)</f>
        <v>635597</v>
      </c>
      <c r="F7" s="28">
        <f>SUMIF($D11:$D185,$D7,F11:F185)</f>
        <v>702365</v>
      </c>
      <c r="G7" s="28">
        <f>SUMIF($D11:$D185,$D7,G11:G185)</f>
        <v>691037.78</v>
      </c>
      <c r="H7" s="28">
        <f>SUMIF($D11:$D185,$D7,H11:H185)</f>
        <v>22615.25</v>
      </c>
      <c r="I7" s="29">
        <f t="shared" si="1"/>
        <v>98.4</v>
      </c>
      <c r="L7" s="14"/>
    </row>
    <row r="8" spans="1:16">
      <c r="A8" s="22"/>
      <c r="B8" s="22"/>
      <c r="C8" s="30" t="s">
        <v>8</v>
      </c>
      <c r="D8" s="30" t="s">
        <v>9</v>
      </c>
      <c r="E8" s="28">
        <f>SUMIF($D11:$D185,$D8,E11:E185)</f>
        <v>1204177</v>
      </c>
      <c r="F8" s="28">
        <f>SUMIF($D11:$D185,$D8,F11:F185)</f>
        <v>1204177</v>
      </c>
      <c r="G8" s="28">
        <f>SUMIF($D11:$D185,$D8,G11:G185)</f>
        <v>800909.70000000007</v>
      </c>
      <c r="H8" s="28">
        <f>SUMIF($D11:$D185,$D8,H11:H185)</f>
        <v>34398.060000000005</v>
      </c>
      <c r="I8" s="29">
        <f t="shared" si="1"/>
        <v>66.5</v>
      </c>
    </row>
    <row r="9" spans="1:16">
      <c r="A9" s="10"/>
      <c r="B9" s="10"/>
      <c r="C9" s="31"/>
      <c r="D9" s="31"/>
      <c r="E9" s="32"/>
      <c r="F9" s="33"/>
      <c r="G9" s="10"/>
      <c r="H9" s="10"/>
      <c r="I9" s="10"/>
    </row>
    <row r="10" spans="1:16">
      <c r="A10" s="10"/>
      <c r="B10" s="10"/>
      <c r="C10" s="275" t="s">
        <v>119</v>
      </c>
      <c r="D10" s="275"/>
      <c r="E10" s="275"/>
      <c r="F10" s="275"/>
      <c r="G10" s="10"/>
      <c r="H10" s="10"/>
      <c r="I10" s="10"/>
      <c r="L10" s="15"/>
      <c r="M10" s="15"/>
      <c r="N10" s="15"/>
      <c r="O10" s="16"/>
      <c r="P10" s="16"/>
    </row>
    <row r="11" spans="1:16" ht="25.5" customHeight="1">
      <c r="A11" s="22"/>
      <c r="B11" s="22"/>
      <c r="C11" s="18" t="s">
        <v>189</v>
      </c>
      <c r="D11" s="18"/>
      <c r="E11" s="34">
        <f>SUM(E13)</f>
        <v>1204177</v>
      </c>
      <c r="F11" s="35">
        <f>SUM(F13,F12)</f>
        <v>1207552</v>
      </c>
      <c r="G11" s="35">
        <f>SUM(G13,G12)</f>
        <v>808617.50000000012</v>
      </c>
      <c r="H11" s="35">
        <f>SUM(H13)</f>
        <v>34398.060000000005</v>
      </c>
      <c r="I11" s="36">
        <f t="shared" si="1"/>
        <v>67</v>
      </c>
      <c r="J11" s="8"/>
      <c r="K11" s="8"/>
      <c r="L11" s="15"/>
      <c r="M11" s="15"/>
      <c r="N11" s="15"/>
      <c r="O11" s="16"/>
      <c r="P11" s="16"/>
    </row>
    <row r="12" spans="1:16" ht="17.25" customHeight="1">
      <c r="A12" s="22" t="s">
        <v>186</v>
      </c>
      <c r="B12" s="22"/>
      <c r="C12" s="76" t="s">
        <v>185</v>
      </c>
      <c r="D12" s="76" t="s">
        <v>4</v>
      </c>
      <c r="E12" s="77"/>
      <c r="F12" s="78">
        <v>3375</v>
      </c>
      <c r="G12" s="78">
        <v>7707.8</v>
      </c>
      <c r="H12" s="78"/>
      <c r="I12" s="79">
        <f t="shared" si="1"/>
        <v>228.4</v>
      </c>
      <c r="J12" s="8"/>
      <c r="K12" s="8"/>
      <c r="L12" s="15"/>
      <c r="M12" s="15"/>
      <c r="N12" s="15"/>
      <c r="O12" s="16"/>
      <c r="P12" s="16"/>
    </row>
    <row r="13" spans="1:16">
      <c r="A13" s="22"/>
      <c r="B13" s="22"/>
      <c r="C13" s="18" t="s">
        <v>160</v>
      </c>
      <c r="D13" s="18"/>
      <c r="E13" s="37">
        <f>SUM(E14:E18)</f>
        <v>1204177</v>
      </c>
      <c r="F13" s="37">
        <f>SUM(F14:F18)</f>
        <v>1204177</v>
      </c>
      <c r="G13" s="37">
        <f>SUM(G14:G18)</f>
        <v>800909.70000000007</v>
      </c>
      <c r="H13" s="37">
        <f>SUM(H14:H18)</f>
        <v>34398.060000000005</v>
      </c>
      <c r="I13" s="29">
        <f t="shared" si="1"/>
        <v>66.5</v>
      </c>
      <c r="J13" s="8"/>
      <c r="K13" s="8"/>
      <c r="L13" s="15"/>
      <c r="M13" s="15"/>
      <c r="N13" s="15"/>
      <c r="O13" s="16"/>
      <c r="P13" s="16"/>
    </row>
    <row r="14" spans="1:16">
      <c r="A14" s="22" t="s">
        <v>10</v>
      </c>
      <c r="B14" s="22"/>
      <c r="C14" s="30" t="s">
        <v>11</v>
      </c>
      <c r="D14" s="30" t="s">
        <v>9</v>
      </c>
      <c r="E14" s="28">
        <v>865000</v>
      </c>
      <c r="F14" s="28">
        <f t="shared" ref="F14:F21" si="3">SUM(E14:E14)</f>
        <v>865000</v>
      </c>
      <c r="G14" s="28">
        <v>461764.08</v>
      </c>
      <c r="H14" s="28">
        <v>6609.24</v>
      </c>
      <c r="I14" s="29">
        <f t="shared" si="1"/>
        <v>53.4</v>
      </c>
    </row>
    <row r="15" spans="1:16" ht="26.25">
      <c r="A15" s="22" t="s">
        <v>12</v>
      </c>
      <c r="B15" s="22"/>
      <c r="C15" s="30" t="s">
        <v>13</v>
      </c>
      <c r="D15" s="30" t="s">
        <v>9</v>
      </c>
      <c r="E15" s="28">
        <v>336198</v>
      </c>
      <c r="F15" s="28">
        <f t="shared" si="3"/>
        <v>336198</v>
      </c>
      <c r="G15" s="28">
        <v>336198.15</v>
      </c>
      <c r="H15" s="28">
        <v>27603.56</v>
      </c>
      <c r="I15" s="29">
        <f t="shared" si="1"/>
        <v>100</v>
      </c>
    </row>
    <row r="16" spans="1:16" ht="26.25">
      <c r="A16" s="22" t="s">
        <v>14</v>
      </c>
      <c r="B16" s="22"/>
      <c r="C16" s="30" t="s">
        <v>15</v>
      </c>
      <c r="D16" s="30" t="s">
        <v>9</v>
      </c>
      <c r="E16" s="28">
        <v>81</v>
      </c>
      <c r="F16" s="28">
        <f t="shared" si="3"/>
        <v>81</v>
      </c>
      <c r="G16" s="28">
        <v>81.13</v>
      </c>
      <c r="H16" s="28"/>
      <c r="I16" s="29">
        <f t="shared" si="1"/>
        <v>100.2</v>
      </c>
      <c r="L16" s="6"/>
      <c r="M16" s="6"/>
      <c r="N16" s="6"/>
      <c r="O16" s="5"/>
      <c r="P16" s="5"/>
    </row>
    <row r="17" spans="1:16">
      <c r="A17" s="22" t="s">
        <v>16</v>
      </c>
      <c r="B17" s="22"/>
      <c r="C17" s="30" t="s">
        <v>17</v>
      </c>
      <c r="D17" s="30" t="s">
        <v>9</v>
      </c>
      <c r="E17" s="28">
        <v>1104</v>
      </c>
      <c r="F17" s="28">
        <f t="shared" si="3"/>
        <v>1104</v>
      </c>
      <c r="G17" s="28">
        <v>1051.54</v>
      </c>
      <c r="H17" s="28">
        <v>52.46</v>
      </c>
      <c r="I17" s="29">
        <f t="shared" si="1"/>
        <v>95.2</v>
      </c>
      <c r="L17" s="6"/>
      <c r="M17" s="6"/>
      <c r="N17" s="6"/>
      <c r="O17" s="6"/>
      <c r="P17" s="5"/>
    </row>
    <row r="18" spans="1:16">
      <c r="A18" s="22" t="s">
        <v>12</v>
      </c>
      <c r="B18" s="22"/>
      <c r="C18" s="30" t="s">
        <v>18</v>
      </c>
      <c r="D18" s="30" t="s">
        <v>9</v>
      </c>
      <c r="E18" s="28">
        <v>1794</v>
      </c>
      <c r="F18" s="28">
        <f t="shared" si="3"/>
        <v>1794</v>
      </c>
      <c r="G18" s="28">
        <v>1814.8</v>
      </c>
      <c r="H18" s="28">
        <v>132.80000000000001</v>
      </c>
      <c r="I18" s="29">
        <f t="shared" si="1"/>
        <v>101.2</v>
      </c>
      <c r="K18" s="12"/>
      <c r="L18" s="13"/>
    </row>
    <row r="19" spans="1:16" ht="23.25" customHeight="1">
      <c r="A19" s="22"/>
      <c r="B19" s="22"/>
      <c r="C19" s="38" t="s">
        <v>19</v>
      </c>
      <c r="D19" s="38"/>
      <c r="E19" s="34">
        <f>SUM(E20,E22,E66,E70,E73,E75)</f>
        <v>31453874</v>
      </c>
      <c r="F19" s="34">
        <f>SUM(F20,F22,F66,F70,F73,F75)</f>
        <v>30908621</v>
      </c>
      <c r="G19" s="34">
        <f>SUM(G20,G22,G66,G70,G73,G75)</f>
        <v>27139895.350000001</v>
      </c>
      <c r="H19" s="34">
        <f>SUM(H20,H22,H66,H70,H73,H75)</f>
        <v>2819599.6700000004</v>
      </c>
      <c r="I19" s="39">
        <f t="shared" si="1"/>
        <v>87.8</v>
      </c>
      <c r="K19" s="6"/>
      <c r="L19" s="6"/>
      <c r="M19" s="11"/>
    </row>
    <row r="20" spans="1:16">
      <c r="A20" s="22"/>
      <c r="B20" s="22"/>
      <c r="C20" s="38" t="s">
        <v>161</v>
      </c>
      <c r="D20" s="38"/>
      <c r="E20" s="37">
        <f>SUM(E21)</f>
        <v>50000</v>
      </c>
      <c r="F20" s="37">
        <f>SUM(F21)</f>
        <v>50000</v>
      </c>
      <c r="G20" s="28">
        <f>SUM(G21)</f>
        <v>4500</v>
      </c>
      <c r="H20" s="28"/>
      <c r="I20" s="29">
        <f t="shared" si="1"/>
        <v>9</v>
      </c>
      <c r="K20" s="6"/>
      <c r="L20" s="6"/>
      <c r="M20" s="6"/>
      <c r="N20" s="6"/>
    </row>
    <row r="21" spans="1:16">
      <c r="A21" s="22" t="s">
        <v>20</v>
      </c>
      <c r="B21" s="22"/>
      <c r="C21" s="40" t="s">
        <v>21</v>
      </c>
      <c r="D21" s="27" t="s">
        <v>4</v>
      </c>
      <c r="E21" s="28">
        <v>50000</v>
      </c>
      <c r="F21" s="28">
        <f t="shared" si="3"/>
        <v>50000</v>
      </c>
      <c r="G21" s="28">
        <v>4500</v>
      </c>
      <c r="H21" s="28"/>
      <c r="I21" s="29">
        <f t="shared" si="1"/>
        <v>9</v>
      </c>
    </row>
    <row r="22" spans="1:16">
      <c r="A22" s="22"/>
      <c r="B22" s="22"/>
      <c r="C22" s="41" t="s">
        <v>22</v>
      </c>
      <c r="D22" s="38"/>
      <c r="E22" s="42">
        <f>SUM(E23,E32:E54,E57,E58,E62,E63)</f>
        <v>28676972</v>
      </c>
      <c r="F22" s="43">
        <f>SUM(F23,F32, F33,F42,F54,F57,F58,F62,F63)</f>
        <v>28802972</v>
      </c>
      <c r="G22" s="43">
        <f>SUM(G23,G32, G33,G42,G54,G57,G58,G62,G63)</f>
        <v>26083651.550000001</v>
      </c>
      <c r="H22" s="43">
        <f>SUM(H23,H32, H33,H42,H54,H57,H58,H62,H63)</f>
        <v>2709850.2600000002</v>
      </c>
      <c r="I22" s="44">
        <f t="shared" si="1"/>
        <v>90.6</v>
      </c>
      <c r="J22" s="6"/>
      <c r="K22" s="9"/>
      <c r="L22" s="9"/>
      <c r="M22" s="9"/>
      <c r="N22" s="5"/>
    </row>
    <row r="23" spans="1:16">
      <c r="A23" s="22"/>
      <c r="B23" s="22"/>
      <c r="C23" s="38" t="s">
        <v>23</v>
      </c>
      <c r="D23" s="38"/>
      <c r="E23" s="34">
        <f>SUM(E24:E31)</f>
        <v>26454600</v>
      </c>
      <c r="F23" s="34">
        <f>SUM(F24:F31)</f>
        <v>26588564</v>
      </c>
      <c r="G23" s="34">
        <f>SUM(G24:G31)</f>
        <v>23892375.559999999</v>
      </c>
      <c r="H23" s="34">
        <f>SUM(H24:H31)</f>
        <v>2660278.2600000002</v>
      </c>
      <c r="I23" s="29">
        <f t="shared" si="1"/>
        <v>89.9</v>
      </c>
      <c r="K23" s="6"/>
      <c r="L23" s="6"/>
      <c r="M23" s="5"/>
    </row>
    <row r="24" spans="1:16">
      <c r="A24" s="22" t="s">
        <v>24</v>
      </c>
      <c r="B24" s="22"/>
      <c r="C24" s="40" t="s">
        <v>25</v>
      </c>
      <c r="D24" s="40" t="s">
        <v>4</v>
      </c>
      <c r="E24" s="28">
        <f>3983200-300200</f>
        <v>3683000</v>
      </c>
      <c r="F24" s="28">
        <f>3683000-48340-3750-36</f>
        <v>3630874</v>
      </c>
      <c r="G24" s="28">
        <v>3624873.57</v>
      </c>
      <c r="H24" s="28">
        <v>206523.72</v>
      </c>
      <c r="I24" s="29">
        <f t="shared" si="1"/>
        <v>99.8</v>
      </c>
      <c r="K24" s="6"/>
      <c r="L24" s="6"/>
      <c r="M24" s="6"/>
      <c r="N24" s="5"/>
    </row>
    <row r="25" spans="1:16">
      <c r="A25" s="22" t="s">
        <v>24</v>
      </c>
      <c r="B25" s="22"/>
      <c r="C25" s="40" t="s">
        <v>113</v>
      </c>
      <c r="D25" s="40" t="s">
        <v>4</v>
      </c>
      <c r="E25" s="28"/>
      <c r="F25" s="28">
        <v>48340</v>
      </c>
      <c r="G25" s="28">
        <v>48337.5</v>
      </c>
      <c r="H25" s="28"/>
      <c r="I25" s="29">
        <f t="shared" si="1"/>
        <v>100</v>
      </c>
      <c r="K25" s="6"/>
      <c r="L25" s="6"/>
      <c r="M25" s="6"/>
      <c r="N25" s="5"/>
    </row>
    <row r="26" spans="1:16" ht="20.25" customHeight="1">
      <c r="A26" s="22" t="s">
        <v>24</v>
      </c>
      <c r="B26" s="22"/>
      <c r="C26" s="40" t="s">
        <v>154</v>
      </c>
      <c r="D26" s="40" t="s">
        <v>4</v>
      </c>
      <c r="E26" s="28"/>
      <c r="F26" s="28">
        <v>3750</v>
      </c>
      <c r="G26" s="28">
        <v>3750</v>
      </c>
      <c r="H26" s="28"/>
      <c r="I26" s="29">
        <f t="shared" si="1"/>
        <v>100</v>
      </c>
      <c r="K26" s="7"/>
      <c r="N26" s="5"/>
    </row>
    <row r="27" spans="1:16">
      <c r="A27" s="22" t="s">
        <v>24</v>
      </c>
      <c r="B27" s="22" t="s">
        <v>26</v>
      </c>
      <c r="C27" s="45" t="s">
        <v>25</v>
      </c>
      <c r="D27" s="45" t="s">
        <v>4</v>
      </c>
      <c r="E27" s="46">
        <v>22571400</v>
      </c>
      <c r="F27" s="46">
        <v>22571400</v>
      </c>
      <c r="G27" s="46">
        <v>19154237.73</v>
      </c>
      <c r="H27" s="46">
        <v>2453754.54</v>
      </c>
      <c r="I27" s="47">
        <f t="shared" si="1"/>
        <v>84.9</v>
      </c>
      <c r="K27" s="7"/>
      <c r="L27" s="17"/>
      <c r="N27" s="5"/>
    </row>
    <row r="28" spans="1:16">
      <c r="A28" s="22"/>
      <c r="B28" s="22"/>
      <c r="C28" s="45" t="s">
        <v>113</v>
      </c>
      <c r="D28" s="45" t="s">
        <v>4</v>
      </c>
      <c r="E28" s="46"/>
      <c r="F28" s="46"/>
      <c r="G28" s="46">
        <v>273912.5</v>
      </c>
      <c r="H28" s="46"/>
      <c r="I28" s="47"/>
      <c r="K28" s="6"/>
      <c r="L28" s="6"/>
      <c r="M28" s="6"/>
      <c r="N28" s="5"/>
    </row>
    <row r="29" spans="1:16">
      <c r="A29" s="22"/>
      <c r="B29" s="22"/>
      <c r="C29" s="40" t="s">
        <v>153</v>
      </c>
      <c r="D29" s="40" t="s">
        <v>4</v>
      </c>
      <c r="E29" s="28"/>
      <c r="F29" s="28">
        <v>10000</v>
      </c>
      <c r="G29" s="28">
        <v>9980</v>
      </c>
      <c r="H29" s="28"/>
      <c r="I29" s="44">
        <f t="shared" si="1"/>
        <v>99.8</v>
      </c>
      <c r="K29" s="6"/>
      <c r="L29" s="6"/>
      <c r="M29" s="6"/>
      <c r="N29" s="5"/>
    </row>
    <row r="30" spans="1:16" ht="26.25">
      <c r="A30" s="22" t="s">
        <v>24</v>
      </c>
      <c r="B30" s="22"/>
      <c r="C30" s="40" t="s">
        <v>27</v>
      </c>
      <c r="D30" s="40" t="s">
        <v>4</v>
      </c>
      <c r="E30" s="28">
        <v>43000</v>
      </c>
      <c r="F30" s="28">
        <f>43000+124000</f>
        <v>167000</v>
      </c>
      <c r="G30" s="28">
        <v>171012.77</v>
      </c>
      <c r="H30" s="28"/>
      <c r="I30" s="29">
        <f t="shared" si="1"/>
        <v>102.4</v>
      </c>
      <c r="K30" s="6"/>
      <c r="L30" s="6"/>
      <c r="M30" s="6"/>
      <c r="N30" s="5"/>
    </row>
    <row r="31" spans="1:16" ht="26.25">
      <c r="A31" s="22" t="s">
        <v>24</v>
      </c>
      <c r="B31" s="22" t="s">
        <v>26</v>
      </c>
      <c r="C31" s="45" t="s">
        <v>27</v>
      </c>
      <c r="D31" s="45" t="s">
        <v>4</v>
      </c>
      <c r="E31" s="46">
        <v>157200</v>
      </c>
      <c r="F31" s="46">
        <v>157200</v>
      </c>
      <c r="G31" s="46">
        <v>606271.49</v>
      </c>
      <c r="H31" s="46"/>
      <c r="I31" s="47">
        <f t="shared" si="1"/>
        <v>385.7</v>
      </c>
    </row>
    <row r="32" spans="1:16" ht="26.25">
      <c r="A32" s="22" t="s">
        <v>24</v>
      </c>
      <c r="B32" s="22"/>
      <c r="C32" s="38" t="s">
        <v>28</v>
      </c>
      <c r="D32" s="38" t="s">
        <v>4</v>
      </c>
      <c r="E32" s="34">
        <v>64000</v>
      </c>
      <c r="F32" s="34">
        <v>64000</v>
      </c>
      <c r="G32" s="34">
        <v>63658.1</v>
      </c>
      <c r="H32" s="28"/>
      <c r="I32" s="26">
        <f t="shared" si="1"/>
        <v>99.5</v>
      </c>
    </row>
    <row r="33" spans="1:14" ht="26.25">
      <c r="A33" s="22" t="s">
        <v>24</v>
      </c>
      <c r="B33" s="22"/>
      <c r="C33" s="38" t="s">
        <v>29</v>
      </c>
      <c r="D33" s="38" t="s">
        <v>4</v>
      </c>
      <c r="E33" s="34">
        <v>650000</v>
      </c>
      <c r="F33" s="34">
        <f>650000+100000-17200</f>
        <v>732800</v>
      </c>
      <c r="G33" s="34">
        <f>SUM(G34:G41)</f>
        <v>722026.46</v>
      </c>
      <c r="H33" s="34">
        <f>SUM(H34:H41)</f>
        <v>0</v>
      </c>
      <c r="I33" s="26">
        <f t="shared" si="1"/>
        <v>98.5</v>
      </c>
    </row>
    <row r="34" spans="1:14">
      <c r="A34" s="22"/>
      <c r="B34" s="22"/>
      <c r="C34" s="40" t="s">
        <v>143</v>
      </c>
      <c r="D34" s="38"/>
      <c r="E34" s="34"/>
      <c r="F34" s="34"/>
      <c r="G34" s="28">
        <v>194809.68</v>
      </c>
      <c r="H34" s="28"/>
      <c r="I34" s="29"/>
    </row>
    <row r="35" spans="1:14">
      <c r="A35" s="22"/>
      <c r="B35" s="22"/>
      <c r="C35" s="40" t="s">
        <v>144</v>
      </c>
      <c r="D35" s="38"/>
      <c r="E35" s="34"/>
      <c r="F35" s="34"/>
      <c r="G35" s="28">
        <v>127859.48</v>
      </c>
      <c r="H35" s="28"/>
      <c r="I35" s="29"/>
    </row>
    <row r="36" spans="1:14">
      <c r="A36" s="22"/>
      <c r="B36" s="22"/>
      <c r="C36" s="40" t="s">
        <v>145</v>
      </c>
      <c r="D36" s="38"/>
      <c r="E36" s="34"/>
      <c r="F36" s="34"/>
      <c r="G36" s="28">
        <v>18927.2</v>
      </c>
      <c r="H36" s="28"/>
      <c r="I36" s="29"/>
    </row>
    <row r="37" spans="1:14">
      <c r="A37" s="22"/>
      <c r="B37" s="22"/>
      <c r="C37" s="40" t="s">
        <v>146</v>
      </c>
      <c r="D37" s="38"/>
      <c r="E37" s="34"/>
      <c r="F37" s="34"/>
      <c r="G37" s="28">
        <v>222603.06</v>
      </c>
      <c r="H37" s="28"/>
      <c r="I37" s="29"/>
    </row>
    <row r="38" spans="1:14">
      <c r="A38" s="22"/>
      <c r="B38" s="22"/>
      <c r="C38" s="40" t="s">
        <v>147</v>
      </c>
      <c r="D38" s="38"/>
      <c r="E38" s="34"/>
      <c r="F38" s="34"/>
      <c r="G38" s="28">
        <v>3597.9</v>
      </c>
      <c r="H38" s="28"/>
      <c r="I38" s="29"/>
    </row>
    <row r="39" spans="1:14">
      <c r="A39" s="22"/>
      <c r="B39" s="22"/>
      <c r="C39" s="40" t="s">
        <v>148</v>
      </c>
      <c r="D39" s="38"/>
      <c r="E39" s="34"/>
      <c r="F39" s="34"/>
      <c r="G39" s="28">
        <v>75043.199999999997</v>
      </c>
      <c r="H39" s="28"/>
      <c r="I39" s="29"/>
    </row>
    <row r="40" spans="1:14">
      <c r="A40" s="22"/>
      <c r="B40" s="22"/>
      <c r="C40" s="40" t="s">
        <v>149</v>
      </c>
      <c r="D40" s="38"/>
      <c r="E40" s="34"/>
      <c r="F40" s="34"/>
      <c r="G40" s="28"/>
      <c r="H40" s="28"/>
      <c r="I40" s="29"/>
      <c r="K40" s="7"/>
      <c r="L40" s="7"/>
      <c r="M40" s="7"/>
      <c r="N40" s="5"/>
    </row>
    <row r="41" spans="1:14">
      <c r="A41" s="22"/>
      <c r="B41" s="22"/>
      <c r="C41" s="40" t="s">
        <v>171</v>
      </c>
      <c r="D41" s="38"/>
      <c r="E41" s="34"/>
      <c r="F41" s="34"/>
      <c r="G41" s="28">
        <v>79185.94</v>
      </c>
      <c r="H41" s="28"/>
      <c r="I41" s="29"/>
    </row>
    <row r="42" spans="1:14" ht="26.25">
      <c r="A42" s="22" t="s">
        <v>24</v>
      </c>
      <c r="B42" s="22"/>
      <c r="C42" s="38" t="s">
        <v>30</v>
      </c>
      <c r="D42" s="38" t="s">
        <v>4</v>
      </c>
      <c r="E42" s="34">
        <v>200000</v>
      </c>
      <c r="F42" s="34">
        <f>200000+50000+25000</f>
        <v>275000</v>
      </c>
      <c r="G42" s="34">
        <f>SUM(G43:G52)</f>
        <v>267074.86</v>
      </c>
      <c r="H42" s="34">
        <f>SUM(H43:H52)</f>
        <v>44484</v>
      </c>
      <c r="I42" s="29">
        <f t="shared" si="1"/>
        <v>97.1</v>
      </c>
    </row>
    <row r="43" spans="1:14">
      <c r="A43" s="22"/>
      <c r="B43" s="22"/>
      <c r="C43" s="40" t="s">
        <v>133</v>
      </c>
      <c r="D43" s="38"/>
      <c r="E43" s="34"/>
      <c r="F43" s="34"/>
      <c r="G43" s="28">
        <v>1350</v>
      </c>
      <c r="H43" s="28"/>
      <c r="I43" s="29"/>
    </row>
    <row r="44" spans="1:14">
      <c r="A44" s="22"/>
      <c r="B44" s="22"/>
      <c r="C44" s="40" t="s">
        <v>134</v>
      </c>
      <c r="D44" s="38"/>
      <c r="E44" s="34"/>
      <c r="F44" s="34"/>
      <c r="G44" s="28">
        <v>145953.60000000001</v>
      </c>
      <c r="H44" s="28"/>
      <c r="I44" s="29"/>
    </row>
    <row r="45" spans="1:14">
      <c r="A45" s="22"/>
      <c r="B45" s="22"/>
      <c r="C45" s="40" t="s">
        <v>135</v>
      </c>
      <c r="D45" s="38"/>
      <c r="E45" s="34"/>
      <c r="F45" s="34"/>
      <c r="G45" s="28">
        <v>5990.7</v>
      </c>
      <c r="H45" s="28"/>
      <c r="I45" s="29"/>
    </row>
    <row r="46" spans="1:14">
      <c r="A46" s="22"/>
      <c r="B46" s="22"/>
      <c r="C46" s="40" t="s">
        <v>136</v>
      </c>
      <c r="D46" s="38"/>
      <c r="E46" s="34"/>
      <c r="F46" s="34"/>
      <c r="G46" s="28"/>
      <c r="H46" s="28"/>
      <c r="I46" s="29"/>
    </row>
    <row r="47" spans="1:14">
      <c r="A47" s="22"/>
      <c r="B47" s="22"/>
      <c r="C47" s="40" t="s">
        <v>137</v>
      </c>
      <c r="D47" s="38"/>
      <c r="E47" s="34"/>
      <c r="F47" s="34"/>
      <c r="G47" s="28">
        <v>54500.68</v>
      </c>
      <c r="H47" s="28"/>
      <c r="I47" s="29"/>
    </row>
    <row r="48" spans="1:14">
      <c r="A48" s="22"/>
      <c r="B48" s="22"/>
      <c r="C48" s="40" t="s">
        <v>138</v>
      </c>
      <c r="D48" s="38"/>
      <c r="E48" s="34"/>
      <c r="F48" s="34"/>
      <c r="G48" s="28">
        <v>44484</v>
      </c>
      <c r="H48" s="28">
        <v>44484</v>
      </c>
      <c r="I48" s="29"/>
    </row>
    <row r="49" spans="1:9">
      <c r="A49" s="22"/>
      <c r="B49" s="22"/>
      <c r="C49" s="40" t="s">
        <v>139</v>
      </c>
      <c r="D49" s="38"/>
      <c r="E49" s="34"/>
      <c r="F49" s="34"/>
      <c r="G49" s="28"/>
      <c r="H49" s="28"/>
      <c r="I49" s="29"/>
    </row>
    <row r="50" spans="1:9">
      <c r="A50" s="22"/>
      <c r="B50" s="22"/>
      <c r="C50" s="40" t="s">
        <v>140</v>
      </c>
      <c r="D50" s="38"/>
      <c r="E50" s="34"/>
      <c r="F50" s="34"/>
      <c r="G50" s="28">
        <v>2904</v>
      </c>
      <c r="H50" s="28"/>
      <c r="I50" s="29"/>
    </row>
    <row r="51" spans="1:9">
      <c r="A51" s="22"/>
      <c r="B51" s="22"/>
      <c r="C51" s="40" t="s">
        <v>141</v>
      </c>
      <c r="D51" s="38"/>
      <c r="E51" s="34"/>
      <c r="F51" s="34"/>
      <c r="G51" s="28">
        <v>11891.88</v>
      </c>
      <c r="H51" s="28"/>
      <c r="I51" s="29"/>
    </row>
    <row r="52" spans="1:9">
      <c r="A52" s="22"/>
      <c r="B52" s="22"/>
      <c r="C52" s="40" t="s">
        <v>142</v>
      </c>
      <c r="D52" s="38"/>
      <c r="E52" s="34"/>
      <c r="F52" s="34"/>
      <c r="G52" s="28"/>
      <c r="H52" s="28"/>
      <c r="I52" s="29"/>
    </row>
    <row r="53" spans="1:9">
      <c r="A53" s="22"/>
      <c r="B53" s="22"/>
      <c r="C53" s="38"/>
      <c r="D53" s="38"/>
      <c r="E53" s="34"/>
      <c r="F53" s="34"/>
      <c r="G53" s="28"/>
      <c r="H53" s="28"/>
      <c r="I53" s="29"/>
    </row>
    <row r="54" spans="1:9">
      <c r="A54" s="22" t="s">
        <v>24</v>
      </c>
      <c r="B54" s="22"/>
      <c r="C54" s="38" t="s">
        <v>31</v>
      </c>
      <c r="D54" s="38"/>
      <c r="E54" s="34">
        <f>SUM(E55:E56)</f>
        <v>1080000</v>
      </c>
      <c r="F54" s="34">
        <f>SUM(F55:F56)</f>
        <v>922036</v>
      </c>
      <c r="G54" s="34">
        <f t="shared" ref="G54:H54" si="4">SUM(G55:G56)</f>
        <v>917736.04</v>
      </c>
      <c r="H54" s="34">
        <f t="shared" si="4"/>
        <v>0</v>
      </c>
      <c r="I54" s="29">
        <f t="shared" si="1"/>
        <v>99.5</v>
      </c>
    </row>
    <row r="55" spans="1:9">
      <c r="A55" s="22" t="s">
        <v>24</v>
      </c>
      <c r="B55" s="22"/>
      <c r="C55" s="40" t="s">
        <v>32</v>
      </c>
      <c r="D55" s="40" t="s">
        <v>4</v>
      </c>
      <c r="E55" s="28">
        <v>1020000</v>
      </c>
      <c r="F55" s="28">
        <f>1020000-158000</f>
        <v>862000</v>
      </c>
      <c r="G55" s="28">
        <v>860869.78</v>
      </c>
      <c r="H55" s="28"/>
      <c r="I55" s="29">
        <f t="shared" si="1"/>
        <v>99.9</v>
      </c>
    </row>
    <row r="56" spans="1:9">
      <c r="A56" s="22" t="s">
        <v>24</v>
      </c>
      <c r="B56" s="22"/>
      <c r="C56" s="40" t="s">
        <v>33</v>
      </c>
      <c r="D56" s="40" t="s">
        <v>4</v>
      </c>
      <c r="E56" s="28">
        <v>60000</v>
      </c>
      <c r="F56" s="28">
        <f>60000+36</f>
        <v>60036</v>
      </c>
      <c r="G56" s="28">
        <v>56866.26</v>
      </c>
      <c r="H56" s="28"/>
      <c r="I56" s="29">
        <f t="shared" si="1"/>
        <v>94.7</v>
      </c>
    </row>
    <row r="57" spans="1:9" ht="26.25">
      <c r="A57" s="22" t="s">
        <v>24</v>
      </c>
      <c r="B57" s="22"/>
      <c r="C57" s="38" t="s">
        <v>34</v>
      </c>
      <c r="D57" s="38" t="s">
        <v>4</v>
      </c>
      <c r="E57" s="34">
        <v>5000</v>
      </c>
      <c r="F57" s="34">
        <v>5000</v>
      </c>
      <c r="G57" s="28">
        <v>5088</v>
      </c>
      <c r="H57" s="28">
        <v>5088</v>
      </c>
      <c r="I57" s="29">
        <f t="shared" si="1"/>
        <v>101.8</v>
      </c>
    </row>
    <row r="58" spans="1:9">
      <c r="A58" s="22" t="s">
        <v>24</v>
      </c>
      <c r="B58" s="22"/>
      <c r="C58" s="38" t="s">
        <v>35</v>
      </c>
      <c r="D58" s="38"/>
      <c r="E58" s="34">
        <f>SUM(E59:E61)</f>
        <v>137292</v>
      </c>
      <c r="F58" s="34">
        <f>SUM(F59:F61)</f>
        <v>129492</v>
      </c>
      <c r="G58" s="34">
        <f t="shared" ref="G58" si="5">SUM(G59:G61)</f>
        <v>129697.53</v>
      </c>
      <c r="H58" s="34"/>
      <c r="I58" s="29">
        <f t="shared" si="1"/>
        <v>100.2</v>
      </c>
    </row>
    <row r="59" spans="1:9">
      <c r="A59" s="22" t="s">
        <v>24</v>
      </c>
      <c r="B59" s="22"/>
      <c r="C59" s="48" t="s">
        <v>36</v>
      </c>
      <c r="D59" s="40" t="s">
        <v>7</v>
      </c>
      <c r="E59" s="28">
        <v>35791</v>
      </c>
      <c r="F59" s="28">
        <f t="shared" ref="F59:F64" si="6">SUM(E59:E59)</f>
        <v>35791</v>
      </c>
      <c r="G59" s="28">
        <v>35790.519999999997</v>
      </c>
      <c r="H59" s="28"/>
      <c r="I59" s="29">
        <f t="shared" si="1"/>
        <v>100</v>
      </c>
    </row>
    <row r="60" spans="1:9">
      <c r="A60" s="22" t="s">
        <v>24</v>
      </c>
      <c r="B60" s="22"/>
      <c r="C60" s="27" t="s">
        <v>37</v>
      </c>
      <c r="D60" s="40" t="s">
        <v>7</v>
      </c>
      <c r="E60" s="28">
        <v>93701</v>
      </c>
      <c r="F60" s="28">
        <f t="shared" si="6"/>
        <v>93701</v>
      </c>
      <c r="G60" s="28">
        <v>93907.01</v>
      </c>
      <c r="H60" s="28"/>
      <c r="I60" s="29">
        <f t="shared" si="1"/>
        <v>100.2</v>
      </c>
    </row>
    <row r="61" spans="1:9">
      <c r="A61" s="22" t="s">
        <v>24</v>
      </c>
      <c r="B61" s="22"/>
      <c r="C61" s="27" t="s">
        <v>38</v>
      </c>
      <c r="D61" s="40" t="s">
        <v>7</v>
      </c>
      <c r="E61" s="28">
        <v>7800</v>
      </c>
      <c r="F61" s="28">
        <f>7800-7800</f>
        <v>0</v>
      </c>
      <c r="G61" s="28"/>
      <c r="H61" s="28"/>
      <c r="I61" s="29"/>
    </row>
    <row r="62" spans="1:9" ht="26.25">
      <c r="A62" s="22" t="s">
        <v>24</v>
      </c>
      <c r="B62" s="22"/>
      <c r="C62" s="38" t="s">
        <v>39</v>
      </c>
      <c r="D62" s="38" t="s">
        <v>4</v>
      </c>
      <c r="E62" s="34">
        <v>60000</v>
      </c>
      <c r="F62" s="34">
        <v>60000</v>
      </c>
      <c r="G62" s="34">
        <v>59019</v>
      </c>
      <c r="H62" s="34"/>
      <c r="I62" s="26">
        <f t="shared" si="1"/>
        <v>98.4</v>
      </c>
    </row>
    <row r="63" spans="1:9">
      <c r="A63" s="22" t="s">
        <v>24</v>
      </c>
      <c r="B63" s="22"/>
      <c r="C63" s="38" t="s">
        <v>40</v>
      </c>
      <c r="D63" s="38"/>
      <c r="E63" s="34">
        <f>SUM(E64:E65)</f>
        <v>26080</v>
      </c>
      <c r="F63" s="34">
        <f>SUM(F64:F65)</f>
        <v>26080</v>
      </c>
      <c r="G63" s="34">
        <f t="shared" ref="G63:H63" si="7">SUM(G64:G65)</f>
        <v>26976</v>
      </c>
      <c r="H63" s="34">
        <f t="shared" si="7"/>
        <v>0</v>
      </c>
      <c r="I63" s="29">
        <f t="shared" si="1"/>
        <v>103.4</v>
      </c>
    </row>
    <row r="64" spans="1:9">
      <c r="A64" s="22" t="s">
        <v>24</v>
      </c>
      <c r="B64" s="22"/>
      <c r="C64" s="40" t="s">
        <v>41</v>
      </c>
      <c r="D64" s="40" t="s">
        <v>4</v>
      </c>
      <c r="E64" s="28">
        <v>2608</v>
      </c>
      <c r="F64" s="28">
        <f t="shared" si="6"/>
        <v>2608</v>
      </c>
      <c r="G64" s="28">
        <v>2023.2</v>
      </c>
      <c r="H64" s="28"/>
      <c r="I64" s="29">
        <f t="shared" si="1"/>
        <v>77.599999999999994</v>
      </c>
    </row>
    <row r="65" spans="1:14">
      <c r="A65" s="22" t="s">
        <v>24</v>
      </c>
      <c r="B65" s="22" t="s">
        <v>26</v>
      </c>
      <c r="C65" s="45" t="s">
        <v>41</v>
      </c>
      <c r="D65" s="45" t="s">
        <v>4</v>
      </c>
      <c r="E65" s="46">
        <v>23472</v>
      </c>
      <c r="F65" s="46">
        <v>23472</v>
      </c>
      <c r="G65" s="46">
        <v>24952.799999999999</v>
      </c>
      <c r="H65" s="46"/>
      <c r="I65" s="47">
        <f t="shared" si="1"/>
        <v>106.3</v>
      </c>
    </row>
    <row r="66" spans="1:14">
      <c r="A66" s="22" t="s">
        <v>24</v>
      </c>
      <c r="B66" s="22"/>
      <c r="C66" s="40" t="s">
        <v>162</v>
      </c>
      <c r="D66" s="40"/>
      <c r="E66" s="42">
        <f>SUM(E67:E68)</f>
        <v>1583902</v>
      </c>
      <c r="F66" s="43">
        <f>SUM(F67:F69)</f>
        <v>1593902</v>
      </c>
      <c r="G66" s="43">
        <f>SUM(G67:G69)</f>
        <v>665499.71</v>
      </c>
      <c r="H66" s="43">
        <f>SUM(H67:H69)</f>
        <v>7821.6</v>
      </c>
      <c r="I66" s="29">
        <f t="shared" si="1"/>
        <v>41.8</v>
      </c>
    </row>
    <row r="67" spans="1:14" ht="26.25">
      <c r="A67" s="22" t="s">
        <v>24</v>
      </c>
      <c r="B67" s="22"/>
      <c r="C67" s="40" t="s">
        <v>42</v>
      </c>
      <c r="D67" s="40" t="s">
        <v>4</v>
      </c>
      <c r="E67" s="28">
        <v>237585</v>
      </c>
      <c r="F67" s="28">
        <f>SUM(E67:E67)</f>
        <v>237585</v>
      </c>
      <c r="G67" s="28">
        <v>98697.41</v>
      </c>
      <c r="H67" s="28"/>
      <c r="I67" s="29">
        <f t="shared" si="1"/>
        <v>41.5</v>
      </c>
    </row>
    <row r="68" spans="1:14" ht="26.25">
      <c r="A68" s="22" t="s">
        <v>24</v>
      </c>
      <c r="B68" s="22" t="s">
        <v>26</v>
      </c>
      <c r="C68" s="45" t="s">
        <v>42</v>
      </c>
      <c r="D68" s="45" t="s">
        <v>4</v>
      </c>
      <c r="E68" s="46">
        <v>1346317</v>
      </c>
      <c r="F68" s="46">
        <v>1346317</v>
      </c>
      <c r="G68" s="46">
        <v>558980.69999999995</v>
      </c>
      <c r="H68" s="46"/>
      <c r="I68" s="47">
        <f t="shared" si="1"/>
        <v>41.5</v>
      </c>
    </row>
    <row r="69" spans="1:14" ht="26.25">
      <c r="A69" s="22" t="s">
        <v>24</v>
      </c>
      <c r="B69" s="22"/>
      <c r="C69" s="73" t="s">
        <v>172</v>
      </c>
      <c r="D69" s="73" t="s">
        <v>4</v>
      </c>
      <c r="E69" s="67"/>
      <c r="F69" s="67">
        <v>10000</v>
      </c>
      <c r="G69" s="67">
        <v>7821.6</v>
      </c>
      <c r="H69" s="67">
        <v>7821.6</v>
      </c>
      <c r="I69" s="44">
        <f t="shared" si="1"/>
        <v>78.2</v>
      </c>
    </row>
    <row r="70" spans="1:14">
      <c r="A70" s="22"/>
      <c r="B70" s="22"/>
      <c r="C70" s="41" t="s">
        <v>43</v>
      </c>
      <c r="D70" s="41"/>
      <c r="E70" s="42">
        <f>SUM(E71:E72)</f>
        <v>960000</v>
      </c>
      <c r="F70" s="43">
        <f>SUM(F71:F72)</f>
        <v>220000</v>
      </c>
      <c r="G70" s="43">
        <f t="shared" ref="G70:H70" si="8">SUM(G71:G72)</f>
        <v>145359.28999999998</v>
      </c>
      <c r="H70" s="43">
        <f t="shared" si="8"/>
        <v>79774.84</v>
      </c>
      <c r="I70" s="29">
        <f t="shared" si="1"/>
        <v>66.099999999999994</v>
      </c>
    </row>
    <row r="71" spans="1:14">
      <c r="A71" s="22" t="s">
        <v>14</v>
      </c>
      <c r="B71" s="22"/>
      <c r="C71" s="49" t="s">
        <v>44</v>
      </c>
      <c r="D71" s="40" t="s">
        <v>4</v>
      </c>
      <c r="E71" s="28">
        <f>90000-30000</f>
        <v>60000</v>
      </c>
      <c r="F71" s="28">
        <f>60000-40000</f>
        <v>20000</v>
      </c>
      <c r="G71" s="28">
        <v>19987</v>
      </c>
      <c r="H71" s="28">
        <v>19951</v>
      </c>
      <c r="I71" s="29">
        <f t="shared" si="1"/>
        <v>99.9</v>
      </c>
    </row>
    <row r="72" spans="1:14">
      <c r="A72" s="22" t="s">
        <v>14</v>
      </c>
      <c r="B72" s="22" t="s">
        <v>26</v>
      </c>
      <c r="C72" s="50" t="s">
        <v>44</v>
      </c>
      <c r="D72" s="45" t="s">
        <v>4</v>
      </c>
      <c r="E72" s="46">
        <v>900000</v>
      </c>
      <c r="F72" s="46">
        <f>900000-700000</f>
        <v>200000</v>
      </c>
      <c r="G72" s="46">
        <v>125372.29</v>
      </c>
      <c r="H72" s="46">
        <v>59823.839999999997</v>
      </c>
      <c r="I72" s="47">
        <f t="shared" si="1"/>
        <v>62.7</v>
      </c>
    </row>
    <row r="73" spans="1:14">
      <c r="A73" s="22"/>
      <c r="B73" s="22"/>
      <c r="C73" s="49" t="s">
        <v>163</v>
      </c>
      <c r="D73" s="41"/>
      <c r="E73" s="37">
        <f>SUM(E74)</f>
        <v>88000</v>
      </c>
      <c r="F73" s="37">
        <f>SUM(F74)</f>
        <v>88000</v>
      </c>
      <c r="G73" s="34">
        <f>SUM(G74)</f>
        <v>88000</v>
      </c>
      <c r="H73" s="34">
        <f>SUM(H74)</f>
        <v>0</v>
      </c>
      <c r="I73" s="26">
        <f t="shared" si="1"/>
        <v>100</v>
      </c>
    </row>
    <row r="74" spans="1:14" ht="26.25">
      <c r="A74" s="22" t="s">
        <v>45</v>
      </c>
      <c r="B74" s="22"/>
      <c r="C74" s="40" t="s">
        <v>46</v>
      </c>
      <c r="D74" s="40" t="s">
        <v>7</v>
      </c>
      <c r="E74" s="28">
        <f>64000+24000</f>
        <v>88000</v>
      </c>
      <c r="F74" s="28">
        <f t="shared" ref="F74:F83" si="9">SUM(E74:E74)</f>
        <v>88000</v>
      </c>
      <c r="G74" s="28">
        <v>88000</v>
      </c>
      <c r="H74" s="28"/>
      <c r="I74" s="29">
        <f t="shared" si="1"/>
        <v>100</v>
      </c>
    </row>
    <row r="75" spans="1:14">
      <c r="A75" s="22"/>
      <c r="B75" s="22"/>
      <c r="C75" s="41" t="s">
        <v>47</v>
      </c>
      <c r="D75" s="38"/>
      <c r="E75" s="37">
        <f>SUM(E76:E80)</f>
        <v>95000</v>
      </c>
      <c r="F75" s="37">
        <f>SUM(F76:F80)</f>
        <v>153747</v>
      </c>
      <c r="G75" s="37">
        <f t="shared" ref="G75:H75" si="10">SUM(G76:G80)</f>
        <v>152884.79999999999</v>
      </c>
      <c r="H75" s="37">
        <f t="shared" si="10"/>
        <v>22152.97</v>
      </c>
      <c r="I75" s="29">
        <f t="shared" si="1"/>
        <v>99.4</v>
      </c>
      <c r="J75" s="6"/>
      <c r="K75" s="6"/>
      <c r="L75" s="6"/>
      <c r="M75" s="6"/>
      <c r="N75" s="5"/>
    </row>
    <row r="76" spans="1:14">
      <c r="A76" s="22" t="s">
        <v>14</v>
      </c>
      <c r="B76" s="22"/>
      <c r="C76" s="40" t="s">
        <v>48</v>
      </c>
      <c r="D76" s="40" t="s">
        <v>4</v>
      </c>
      <c r="E76" s="28">
        <v>35000</v>
      </c>
      <c r="F76" s="28">
        <v>35000</v>
      </c>
      <c r="G76" s="28">
        <v>34981.19</v>
      </c>
      <c r="H76" s="28">
        <v>16021.8</v>
      </c>
      <c r="I76" s="29">
        <f t="shared" si="1"/>
        <v>99.9</v>
      </c>
      <c r="J76" s="7"/>
      <c r="K76" s="7"/>
      <c r="L76" s="7"/>
      <c r="M76" s="7"/>
      <c r="N76" s="7"/>
    </row>
    <row r="77" spans="1:14">
      <c r="A77" s="22" t="s">
        <v>14</v>
      </c>
      <c r="B77" s="22"/>
      <c r="C77" s="40" t="s">
        <v>49</v>
      </c>
      <c r="D77" s="40" t="s">
        <v>4</v>
      </c>
      <c r="E77" s="28">
        <v>40000</v>
      </c>
      <c r="F77" s="28">
        <f>40000-26000+16400</f>
        <v>30400</v>
      </c>
      <c r="G77" s="28">
        <v>30077.49</v>
      </c>
      <c r="H77" s="28"/>
      <c r="I77" s="29">
        <f t="shared" si="1"/>
        <v>98.9</v>
      </c>
    </row>
    <row r="78" spans="1:14" ht="28.5" customHeight="1">
      <c r="A78" s="22" t="s">
        <v>14</v>
      </c>
      <c r="B78" s="22"/>
      <c r="C78" s="40" t="s">
        <v>132</v>
      </c>
      <c r="D78" s="40" t="s">
        <v>4</v>
      </c>
      <c r="E78" s="28"/>
      <c r="F78" s="28">
        <v>30000</v>
      </c>
      <c r="G78" s="28">
        <v>30000</v>
      </c>
      <c r="H78" s="28">
        <v>6131.17</v>
      </c>
      <c r="I78" s="29">
        <f t="shared" si="1"/>
        <v>100</v>
      </c>
    </row>
    <row r="79" spans="1:14">
      <c r="A79" s="22" t="s">
        <v>14</v>
      </c>
      <c r="B79" s="22"/>
      <c r="C79" s="40" t="s">
        <v>114</v>
      </c>
      <c r="D79" s="40" t="s">
        <v>4</v>
      </c>
      <c r="E79" s="28"/>
      <c r="F79" s="28">
        <v>38347</v>
      </c>
      <c r="G79" s="28">
        <v>38347</v>
      </c>
      <c r="H79" s="28"/>
      <c r="I79" s="29">
        <f t="shared" si="1"/>
        <v>100</v>
      </c>
    </row>
    <row r="80" spans="1:14">
      <c r="A80" s="22" t="s">
        <v>14</v>
      </c>
      <c r="B80" s="22"/>
      <c r="C80" s="40" t="s">
        <v>50</v>
      </c>
      <c r="D80" s="40" t="s">
        <v>4</v>
      </c>
      <c r="E80" s="28">
        <v>20000</v>
      </c>
      <c r="F80" s="28">
        <f t="shared" si="9"/>
        <v>20000</v>
      </c>
      <c r="G80" s="28">
        <v>19479.12</v>
      </c>
      <c r="H80" s="28"/>
      <c r="I80" s="29">
        <f t="shared" si="1"/>
        <v>97.4</v>
      </c>
    </row>
    <row r="81" spans="1:9" ht="25.5" customHeight="1">
      <c r="A81" s="22" t="s">
        <v>24</v>
      </c>
      <c r="B81" s="22"/>
      <c r="C81" s="18" t="s">
        <v>51</v>
      </c>
      <c r="D81" s="18"/>
      <c r="E81" s="37">
        <f>SUM(E82,E84)</f>
        <v>89000</v>
      </c>
      <c r="F81" s="37">
        <f>SUM(F82,F84,F88)</f>
        <v>125150</v>
      </c>
      <c r="G81" s="37">
        <f t="shared" ref="G81:H81" si="11">SUM(G82,G84,G88)</f>
        <v>146256.51</v>
      </c>
      <c r="H81" s="37">
        <f t="shared" si="11"/>
        <v>42787.69</v>
      </c>
      <c r="I81" s="26">
        <f t="shared" si="1"/>
        <v>116.9</v>
      </c>
    </row>
    <row r="82" spans="1:9">
      <c r="A82" s="22" t="s">
        <v>24</v>
      </c>
      <c r="B82" s="22"/>
      <c r="C82" s="18" t="s">
        <v>164</v>
      </c>
      <c r="D82" s="18"/>
      <c r="E82" s="37">
        <f>SUM(E83)</f>
        <v>32000</v>
      </c>
      <c r="F82" s="37">
        <f>SUM(F83)</f>
        <v>32000</v>
      </c>
      <c r="G82" s="37">
        <f t="shared" ref="G82:H82" si="12">SUM(G83)</f>
        <v>27555.25</v>
      </c>
      <c r="H82" s="37">
        <f t="shared" si="12"/>
        <v>18555.25</v>
      </c>
      <c r="I82" s="29">
        <f t="shared" si="1"/>
        <v>86.1</v>
      </c>
    </row>
    <row r="83" spans="1:9">
      <c r="A83" s="22" t="s">
        <v>24</v>
      </c>
      <c r="B83" s="22"/>
      <c r="C83" s="30" t="s">
        <v>52</v>
      </c>
      <c r="D83" s="30" t="s">
        <v>7</v>
      </c>
      <c r="E83" s="28">
        <v>32000</v>
      </c>
      <c r="F83" s="28">
        <f t="shared" si="9"/>
        <v>32000</v>
      </c>
      <c r="G83" s="28">
        <v>27555.25</v>
      </c>
      <c r="H83" s="28">
        <v>18555.25</v>
      </c>
      <c r="I83" s="29">
        <f t="shared" si="1"/>
        <v>86.1</v>
      </c>
    </row>
    <row r="84" spans="1:9">
      <c r="A84" s="22" t="s">
        <v>24</v>
      </c>
      <c r="B84" s="22"/>
      <c r="C84" s="18" t="s">
        <v>165</v>
      </c>
      <c r="D84" s="30"/>
      <c r="E84" s="42">
        <f>SUM(E85:E87)</f>
        <v>57000</v>
      </c>
      <c r="F84" s="43">
        <f>SUM(F85:F87)</f>
        <v>87450</v>
      </c>
      <c r="G84" s="43">
        <f t="shared" ref="G84:H84" si="13">SUM(G85:G87)</f>
        <v>91204.82</v>
      </c>
      <c r="H84" s="43">
        <f t="shared" si="13"/>
        <v>0</v>
      </c>
      <c r="I84" s="29">
        <f t="shared" si="1"/>
        <v>104.3</v>
      </c>
    </row>
    <row r="85" spans="1:9">
      <c r="A85" s="22" t="s">
        <v>24</v>
      </c>
      <c r="B85" s="22"/>
      <c r="C85" s="27" t="s">
        <v>53</v>
      </c>
      <c r="D85" s="30" t="s">
        <v>4</v>
      </c>
      <c r="E85" s="28">
        <v>2500</v>
      </c>
      <c r="F85" s="28">
        <f>2500+450</f>
        <v>2950</v>
      </c>
      <c r="G85" s="28">
        <v>2949.7</v>
      </c>
      <c r="H85" s="28"/>
      <c r="I85" s="29">
        <f t="shared" si="1"/>
        <v>100</v>
      </c>
    </row>
    <row r="86" spans="1:9">
      <c r="A86" s="22" t="s">
        <v>24</v>
      </c>
      <c r="B86" s="22" t="s">
        <v>26</v>
      </c>
      <c r="C86" s="51" t="s">
        <v>53</v>
      </c>
      <c r="D86" s="51" t="s">
        <v>4</v>
      </c>
      <c r="E86" s="46">
        <v>22500</v>
      </c>
      <c r="F86" s="46">
        <v>22500</v>
      </c>
      <c r="G86" s="46">
        <v>26547.3</v>
      </c>
      <c r="H86" s="46"/>
      <c r="I86" s="47">
        <f t="shared" si="1"/>
        <v>118</v>
      </c>
    </row>
    <row r="87" spans="1:9">
      <c r="A87" s="22" t="s">
        <v>24</v>
      </c>
      <c r="B87" s="22"/>
      <c r="C87" s="30" t="s">
        <v>54</v>
      </c>
      <c r="D87" s="30" t="s">
        <v>4</v>
      </c>
      <c r="E87" s="28">
        <v>32000</v>
      </c>
      <c r="F87" s="28">
        <f>32000+30000</f>
        <v>62000</v>
      </c>
      <c r="G87" s="28">
        <v>61707.82</v>
      </c>
      <c r="H87" s="28"/>
      <c r="I87" s="29">
        <f t="shared" si="1"/>
        <v>99.5</v>
      </c>
    </row>
    <row r="88" spans="1:9">
      <c r="A88" s="22"/>
      <c r="B88" s="22"/>
      <c r="C88" s="74" t="s">
        <v>173</v>
      </c>
      <c r="D88" s="30"/>
      <c r="E88" s="28"/>
      <c r="F88" s="34">
        <f>SUM(F90,F91,F89)</f>
        <v>5700</v>
      </c>
      <c r="G88" s="34">
        <f t="shared" ref="G88:H88" si="14">SUM(G90,G91,G89)</f>
        <v>27496.44</v>
      </c>
      <c r="H88" s="34">
        <f t="shared" si="14"/>
        <v>24232.44</v>
      </c>
      <c r="I88" s="29">
        <f t="shared" si="1"/>
        <v>482.4</v>
      </c>
    </row>
    <row r="89" spans="1:9">
      <c r="A89" s="22" t="s">
        <v>24</v>
      </c>
      <c r="B89" s="22"/>
      <c r="C89" s="30" t="s">
        <v>192</v>
      </c>
      <c r="D89" s="30" t="s">
        <v>4</v>
      </c>
      <c r="E89" s="28"/>
      <c r="F89" s="34">
        <v>3600</v>
      </c>
      <c r="G89" s="28">
        <v>3694.44</v>
      </c>
      <c r="H89" s="28">
        <v>3694.44</v>
      </c>
      <c r="I89" s="29">
        <f t="shared" si="1"/>
        <v>102.6</v>
      </c>
    </row>
    <row r="90" spans="1:9" ht="26.25">
      <c r="A90" s="22" t="s">
        <v>24</v>
      </c>
      <c r="B90" s="22"/>
      <c r="C90" s="76" t="s">
        <v>174</v>
      </c>
      <c r="D90" s="76" t="s">
        <v>4</v>
      </c>
      <c r="E90" s="78"/>
      <c r="F90" s="78"/>
      <c r="G90" s="78">
        <v>20538</v>
      </c>
      <c r="H90" s="78">
        <v>20538</v>
      </c>
      <c r="I90" s="79"/>
    </row>
    <row r="91" spans="1:9">
      <c r="A91" s="22" t="s">
        <v>24</v>
      </c>
      <c r="B91" s="22"/>
      <c r="C91" s="30" t="s">
        <v>190</v>
      </c>
      <c r="D91" s="30" t="s">
        <v>4</v>
      </c>
      <c r="E91" s="28"/>
      <c r="F91" s="28">
        <v>2100</v>
      </c>
      <c r="G91" s="28">
        <v>3264</v>
      </c>
      <c r="H91" s="28"/>
      <c r="I91" s="29">
        <f t="shared" si="1"/>
        <v>155.4</v>
      </c>
    </row>
    <row r="92" spans="1:9" ht="25.5" customHeight="1">
      <c r="A92" s="22"/>
      <c r="B92" s="22"/>
      <c r="C92" s="18" t="s">
        <v>55</v>
      </c>
      <c r="D92" s="18"/>
      <c r="E92" s="34">
        <f>SUM(E93,E97,E105)</f>
        <v>566500</v>
      </c>
      <c r="F92" s="34">
        <f>SUM(F93,F97,F105)</f>
        <v>317500</v>
      </c>
      <c r="G92" s="34">
        <f t="shared" ref="G92:H92" si="15">SUM(G93,G97,G105)</f>
        <v>462625.57</v>
      </c>
      <c r="H92" s="34">
        <f t="shared" si="15"/>
        <v>81349.42</v>
      </c>
      <c r="I92" s="26">
        <f t="shared" si="1"/>
        <v>145.69999999999999</v>
      </c>
    </row>
    <row r="93" spans="1:9">
      <c r="A93" s="22" t="s">
        <v>14</v>
      </c>
      <c r="B93" s="22"/>
      <c r="C93" s="41" t="s">
        <v>56</v>
      </c>
      <c r="D93" s="38"/>
      <c r="E93" s="37">
        <f>SUM(E94:E96)</f>
        <v>460000</v>
      </c>
      <c r="F93" s="37">
        <f>SUM(F94:F96)</f>
        <v>200000</v>
      </c>
      <c r="G93" s="37">
        <f t="shared" ref="G93:H93" si="16">SUM(G94:G96)</f>
        <v>153952.11000000002</v>
      </c>
      <c r="H93" s="37">
        <f t="shared" si="16"/>
        <v>40938.22</v>
      </c>
      <c r="I93" s="26">
        <f t="shared" si="1"/>
        <v>77</v>
      </c>
    </row>
    <row r="94" spans="1:9">
      <c r="A94" s="22" t="s">
        <v>14</v>
      </c>
      <c r="B94" s="22"/>
      <c r="C94" s="40" t="s">
        <v>57</v>
      </c>
      <c r="D94" s="40" t="s">
        <v>4</v>
      </c>
      <c r="E94" s="28">
        <v>60000</v>
      </c>
      <c r="F94" s="28">
        <f t="shared" ref="F94:F106" si="17">SUM(E94:E94)</f>
        <v>60000</v>
      </c>
      <c r="G94" s="28">
        <v>57871.65</v>
      </c>
      <c r="H94" s="28">
        <v>14705.46</v>
      </c>
      <c r="I94" s="29">
        <f t="shared" si="1"/>
        <v>96.5</v>
      </c>
    </row>
    <row r="95" spans="1:9">
      <c r="A95" s="22" t="s">
        <v>14</v>
      </c>
      <c r="B95" s="22"/>
      <c r="C95" s="40" t="s">
        <v>58</v>
      </c>
      <c r="D95" s="40" t="s">
        <v>4</v>
      </c>
      <c r="E95" s="28">
        <v>340000</v>
      </c>
      <c r="F95" s="28">
        <f>272000-272000</f>
        <v>0</v>
      </c>
      <c r="G95" s="28"/>
      <c r="H95" s="28"/>
      <c r="I95" s="29"/>
    </row>
    <row r="96" spans="1:9">
      <c r="A96" s="22" t="s">
        <v>14</v>
      </c>
      <c r="B96" s="22"/>
      <c r="C96" s="40" t="s">
        <v>59</v>
      </c>
      <c r="D96" s="40" t="s">
        <v>4</v>
      </c>
      <c r="E96" s="28">
        <v>60000</v>
      </c>
      <c r="F96" s="28">
        <f>60000+30000+50000</f>
        <v>140000</v>
      </c>
      <c r="G96" s="28">
        <v>96080.46</v>
      </c>
      <c r="H96" s="28">
        <v>26232.76</v>
      </c>
      <c r="I96" s="29">
        <f t="shared" si="1"/>
        <v>68.599999999999994</v>
      </c>
    </row>
    <row r="97" spans="1:9">
      <c r="A97" s="22" t="s">
        <v>24</v>
      </c>
      <c r="B97" s="22"/>
      <c r="C97" s="41" t="s">
        <v>60</v>
      </c>
      <c r="D97" s="41"/>
      <c r="E97" s="37">
        <f>SUM(E98:E101)</f>
        <v>80000</v>
      </c>
      <c r="F97" s="37">
        <f>SUM(F98:F104)</f>
        <v>91000</v>
      </c>
      <c r="G97" s="37">
        <f t="shared" ref="G97:H97" si="18">SUM(G98:G104)</f>
        <v>282414.04000000004</v>
      </c>
      <c r="H97" s="37">
        <f t="shared" si="18"/>
        <v>40411.199999999997</v>
      </c>
      <c r="I97" s="37">
        <f t="shared" ref="I97" si="19">SUM(I98:I101)</f>
        <v>390.4</v>
      </c>
    </row>
    <row r="98" spans="1:9" ht="26.25">
      <c r="A98" s="22" t="s">
        <v>24</v>
      </c>
      <c r="B98" s="22"/>
      <c r="C98" s="40" t="s">
        <v>61</v>
      </c>
      <c r="D98" s="40" t="s">
        <v>4</v>
      </c>
      <c r="E98" s="28">
        <v>30000</v>
      </c>
      <c r="F98" s="28">
        <f>30000+11000</f>
        <v>41000</v>
      </c>
      <c r="G98" s="28">
        <v>35470.839999999997</v>
      </c>
      <c r="H98" s="28">
        <v>13425.6</v>
      </c>
      <c r="I98" s="29">
        <f t="shared" si="1"/>
        <v>86.5</v>
      </c>
    </row>
    <row r="99" spans="1:9" ht="26.25">
      <c r="A99" s="22" t="s">
        <v>24</v>
      </c>
      <c r="B99" s="22"/>
      <c r="C99" s="40" t="s">
        <v>62</v>
      </c>
      <c r="D99" s="40" t="s">
        <v>4</v>
      </c>
      <c r="E99" s="28">
        <v>40000</v>
      </c>
      <c r="F99" s="28">
        <f t="shared" si="17"/>
        <v>40000</v>
      </c>
      <c r="G99" s="28">
        <v>45488.42</v>
      </c>
      <c r="H99" s="28">
        <v>14644.8</v>
      </c>
      <c r="I99" s="29">
        <f t="shared" si="1"/>
        <v>113.7</v>
      </c>
    </row>
    <row r="100" spans="1:9" ht="26.25">
      <c r="A100" s="22" t="s">
        <v>24</v>
      </c>
      <c r="B100" s="22"/>
      <c r="C100" s="40" t="s">
        <v>63</v>
      </c>
      <c r="D100" s="40" t="s">
        <v>4</v>
      </c>
      <c r="E100" s="28">
        <f>-12000+14000</f>
        <v>2000</v>
      </c>
      <c r="F100" s="28">
        <f t="shared" si="17"/>
        <v>2000</v>
      </c>
      <c r="G100" s="28">
        <v>1812.96</v>
      </c>
      <c r="H100" s="28">
        <v>1812.96</v>
      </c>
      <c r="I100" s="29">
        <f t="shared" ref="I100:I105" si="20">ROUND(G100/F100*100,1)</f>
        <v>90.6</v>
      </c>
    </row>
    <row r="101" spans="1:9">
      <c r="A101" s="22" t="s">
        <v>24</v>
      </c>
      <c r="B101" s="22"/>
      <c r="C101" s="40" t="s">
        <v>64</v>
      </c>
      <c r="D101" s="40" t="s">
        <v>4</v>
      </c>
      <c r="E101" s="28">
        <f>-2000+10000</f>
        <v>8000</v>
      </c>
      <c r="F101" s="28">
        <f t="shared" si="17"/>
        <v>8000</v>
      </c>
      <c r="G101" s="28">
        <v>7968</v>
      </c>
      <c r="H101" s="28"/>
      <c r="I101" s="29">
        <f t="shared" si="20"/>
        <v>99.6</v>
      </c>
    </row>
    <row r="102" spans="1:9">
      <c r="A102" s="297" t="s">
        <v>24</v>
      </c>
      <c r="B102" s="297"/>
      <c r="C102" s="45" t="s">
        <v>176</v>
      </c>
      <c r="D102" s="45" t="s">
        <v>4</v>
      </c>
      <c r="E102" s="45" t="s">
        <v>4</v>
      </c>
      <c r="F102" s="46"/>
      <c r="G102" s="46">
        <v>180161.98</v>
      </c>
      <c r="H102" s="46"/>
      <c r="I102" s="47"/>
    </row>
    <row r="103" spans="1:9">
      <c r="A103" s="297" t="s">
        <v>24</v>
      </c>
      <c r="B103" s="297"/>
      <c r="C103" s="45" t="s">
        <v>191</v>
      </c>
      <c r="D103" s="45" t="s">
        <v>4</v>
      </c>
      <c r="E103" s="46"/>
      <c r="F103" s="46"/>
      <c r="G103" s="46">
        <v>10527.84</v>
      </c>
      <c r="H103" s="46">
        <v>10527.84</v>
      </c>
      <c r="I103" s="47"/>
    </row>
    <row r="104" spans="1:9">
      <c r="A104" s="22" t="s">
        <v>24</v>
      </c>
      <c r="B104" s="22"/>
      <c r="C104" s="40" t="s">
        <v>175</v>
      </c>
      <c r="D104" s="40" t="s">
        <v>4</v>
      </c>
      <c r="E104" s="28"/>
      <c r="F104" s="28"/>
      <c r="G104" s="28">
        <v>984</v>
      </c>
      <c r="H104" s="28"/>
      <c r="I104" s="29"/>
    </row>
    <row r="105" spans="1:9">
      <c r="A105" s="22" t="s">
        <v>24</v>
      </c>
      <c r="B105" s="22"/>
      <c r="C105" s="41" t="s">
        <v>65</v>
      </c>
      <c r="D105" s="38"/>
      <c r="E105" s="37">
        <f>SUM(E106:E108)</f>
        <v>26500</v>
      </c>
      <c r="F105" s="37">
        <f>SUM(F106:F108)</f>
        <v>26500</v>
      </c>
      <c r="G105" s="37">
        <f t="shared" ref="G105" si="21">SUM(G106:G108)</f>
        <v>26259.42</v>
      </c>
      <c r="H105" s="37"/>
      <c r="I105" s="29">
        <f t="shared" si="20"/>
        <v>99.1</v>
      </c>
    </row>
    <row r="106" spans="1:9">
      <c r="A106" s="22" t="s">
        <v>24</v>
      </c>
      <c r="B106" s="22"/>
      <c r="C106" s="40" t="s">
        <v>66</v>
      </c>
      <c r="D106" s="40" t="s">
        <v>4</v>
      </c>
      <c r="E106" s="28">
        <v>20500</v>
      </c>
      <c r="F106" s="28">
        <f t="shared" si="17"/>
        <v>20500</v>
      </c>
      <c r="G106" s="28">
        <v>20499.419999999998</v>
      </c>
      <c r="H106" s="28"/>
      <c r="I106" s="29">
        <f t="shared" ref="I106:I108" si="22">ROUND(G106/F106*100,1)</f>
        <v>100</v>
      </c>
    </row>
    <row r="107" spans="1:9">
      <c r="A107" s="22" t="s">
        <v>24</v>
      </c>
      <c r="B107" s="22"/>
      <c r="C107" s="40" t="s">
        <v>123</v>
      </c>
      <c r="D107" s="40" t="s">
        <v>4</v>
      </c>
      <c r="E107" s="28"/>
      <c r="F107" s="28">
        <v>6000</v>
      </c>
      <c r="G107" s="28">
        <v>5760</v>
      </c>
      <c r="H107" s="28"/>
      <c r="I107" s="29">
        <f t="shared" si="22"/>
        <v>96</v>
      </c>
    </row>
    <row r="108" spans="1:9">
      <c r="A108" s="22" t="s">
        <v>24</v>
      </c>
      <c r="B108" s="22"/>
      <c r="C108" s="40" t="s">
        <v>67</v>
      </c>
      <c r="D108" s="40" t="s">
        <v>4</v>
      </c>
      <c r="E108" s="28">
        <v>6000</v>
      </c>
      <c r="F108" s="28">
        <f>6000-6000</f>
        <v>0</v>
      </c>
      <c r="G108" s="28"/>
      <c r="H108" s="28"/>
      <c r="I108" s="29" t="e">
        <f t="shared" si="22"/>
        <v>#DIV/0!</v>
      </c>
    </row>
    <row r="109" spans="1:9" ht="28.5" customHeight="1">
      <c r="A109" s="22"/>
      <c r="B109" s="22"/>
      <c r="C109" s="18" t="s">
        <v>68</v>
      </c>
      <c r="D109" s="18"/>
      <c r="E109" s="34">
        <f>SUM(E114,E119,E122,E124,E129)</f>
        <v>3357735</v>
      </c>
      <c r="F109" s="34">
        <f>SUM(F114,F119,F122,F124,F129,F110,F127)</f>
        <v>3521287</v>
      </c>
      <c r="G109" s="34">
        <f t="shared" ref="G109:H109" si="23">SUM(G114,G119,G122,G124,G129,G110,G127)</f>
        <v>2743193.17</v>
      </c>
      <c r="H109" s="34">
        <f t="shared" si="23"/>
        <v>21816.52</v>
      </c>
      <c r="I109" s="26">
        <f t="shared" ref="I109:I185" si="24">ROUND(G109/F109*100,1)</f>
        <v>77.900000000000006</v>
      </c>
    </row>
    <row r="110" spans="1:9" ht="28.5" customHeight="1">
      <c r="A110" s="22"/>
      <c r="B110" s="22"/>
      <c r="C110" s="52" t="s">
        <v>151</v>
      </c>
      <c r="D110" s="18"/>
      <c r="E110" s="34"/>
      <c r="F110" s="34">
        <f>SUM(F111:F113)</f>
        <v>36996</v>
      </c>
      <c r="G110" s="34">
        <f>SUM(G111,G113,G112)</f>
        <v>36996</v>
      </c>
      <c r="H110" s="34">
        <f>SUM(H111,H113,H112)</f>
        <v>0</v>
      </c>
      <c r="I110" s="29">
        <f t="shared" si="24"/>
        <v>100</v>
      </c>
    </row>
    <row r="111" spans="1:9" ht="34.5" customHeight="1">
      <c r="A111" s="22" t="s">
        <v>16</v>
      </c>
      <c r="B111" s="22"/>
      <c r="C111" s="30" t="s">
        <v>152</v>
      </c>
      <c r="D111" s="30" t="s">
        <v>7</v>
      </c>
      <c r="E111" s="34"/>
      <c r="F111" s="28">
        <v>16396</v>
      </c>
      <c r="G111" s="28">
        <v>16396</v>
      </c>
      <c r="H111" s="28"/>
      <c r="I111" s="29">
        <f t="shared" si="24"/>
        <v>100</v>
      </c>
    </row>
    <row r="112" spans="1:9" ht="34.5" customHeight="1">
      <c r="A112" s="22" t="s">
        <v>16</v>
      </c>
      <c r="B112" s="22"/>
      <c r="C112" s="30" t="s">
        <v>187</v>
      </c>
      <c r="D112" s="30" t="s">
        <v>7</v>
      </c>
      <c r="E112" s="34"/>
      <c r="F112" s="28">
        <v>3600</v>
      </c>
      <c r="G112" s="28">
        <v>3600</v>
      </c>
      <c r="H112" s="28"/>
      <c r="I112" s="29">
        <f t="shared" si="24"/>
        <v>100</v>
      </c>
    </row>
    <row r="113" spans="1:12" ht="34.5" customHeight="1">
      <c r="A113" s="22" t="s">
        <v>16</v>
      </c>
      <c r="B113" s="22"/>
      <c r="C113" s="30" t="s">
        <v>181</v>
      </c>
      <c r="D113" s="30" t="s">
        <v>7</v>
      </c>
      <c r="E113" s="34"/>
      <c r="F113" s="28">
        <v>17000</v>
      </c>
      <c r="G113" s="28">
        <v>17000</v>
      </c>
      <c r="H113" s="28"/>
      <c r="I113" s="29">
        <f t="shared" si="24"/>
        <v>100</v>
      </c>
    </row>
    <row r="114" spans="1:12">
      <c r="A114" s="22"/>
      <c r="B114" s="22"/>
      <c r="C114" s="41" t="s">
        <v>69</v>
      </c>
      <c r="D114" s="38"/>
      <c r="E114" s="37">
        <f>SUM(E115:E118)</f>
        <v>111912</v>
      </c>
      <c r="F114" s="37">
        <f>SUM(F115:F118)</f>
        <v>126512</v>
      </c>
      <c r="G114" s="37">
        <f t="shared" ref="G114:H114" si="25">SUM(G115:G118)</f>
        <v>126512</v>
      </c>
      <c r="H114" s="37">
        <f t="shared" si="25"/>
        <v>0</v>
      </c>
      <c r="I114" s="29">
        <f t="shared" si="24"/>
        <v>100</v>
      </c>
    </row>
    <row r="115" spans="1:12">
      <c r="A115" s="22" t="s">
        <v>10</v>
      </c>
      <c r="B115" s="22"/>
      <c r="C115" s="40" t="s">
        <v>70</v>
      </c>
      <c r="D115" s="40" t="s">
        <v>7</v>
      </c>
      <c r="E115" s="28">
        <v>48000</v>
      </c>
      <c r="F115" s="28">
        <f>SUM(E115:E115)</f>
        <v>48000</v>
      </c>
      <c r="G115" s="28">
        <v>48000</v>
      </c>
      <c r="H115" s="28"/>
      <c r="I115" s="29">
        <f t="shared" si="24"/>
        <v>100</v>
      </c>
    </row>
    <row r="116" spans="1:12" ht="26.25">
      <c r="A116" s="22" t="s">
        <v>16</v>
      </c>
      <c r="B116" s="22"/>
      <c r="C116" s="40" t="s">
        <v>155</v>
      </c>
      <c r="D116" s="40" t="s">
        <v>7</v>
      </c>
      <c r="E116" s="28"/>
      <c r="F116" s="28">
        <v>10000</v>
      </c>
      <c r="G116" s="28">
        <v>10000</v>
      </c>
      <c r="H116" s="28"/>
      <c r="I116" s="29">
        <f t="shared" si="24"/>
        <v>100</v>
      </c>
    </row>
    <row r="117" spans="1:12" ht="26.25">
      <c r="A117" s="22" t="s">
        <v>16</v>
      </c>
      <c r="B117" s="22"/>
      <c r="C117" s="40" t="s">
        <v>182</v>
      </c>
      <c r="D117" s="40" t="s">
        <v>7</v>
      </c>
      <c r="E117" s="28"/>
      <c r="F117" s="28">
        <v>4600</v>
      </c>
      <c r="G117" s="28">
        <v>4600</v>
      </c>
      <c r="H117" s="28"/>
      <c r="I117" s="29">
        <f t="shared" si="24"/>
        <v>100</v>
      </c>
    </row>
    <row r="118" spans="1:12">
      <c r="A118" s="22" t="s">
        <v>10</v>
      </c>
      <c r="B118" s="22"/>
      <c r="C118" s="40" t="s">
        <v>71</v>
      </c>
      <c r="D118" s="40" t="s">
        <v>7</v>
      </c>
      <c r="E118" s="28">
        <v>63912</v>
      </c>
      <c r="F118" s="28">
        <f>SUM(E118:E118)</f>
        <v>63912</v>
      </c>
      <c r="G118" s="28">
        <v>63912</v>
      </c>
      <c r="H118" s="28"/>
      <c r="I118" s="29">
        <f t="shared" si="24"/>
        <v>100</v>
      </c>
    </row>
    <row r="119" spans="1:12">
      <c r="A119" s="22" t="s">
        <v>14</v>
      </c>
      <c r="B119" s="22"/>
      <c r="C119" s="40" t="s">
        <v>166</v>
      </c>
      <c r="D119" s="40"/>
      <c r="E119" s="42">
        <f>SUM(E120:E121)</f>
        <v>3059000</v>
      </c>
      <c r="F119" s="43">
        <f>SUM(F120:F121)</f>
        <v>3069000</v>
      </c>
      <c r="G119" s="43">
        <f t="shared" ref="G119:H119" si="26">SUM(G120:G121)</f>
        <v>2308293.5499999998</v>
      </c>
      <c r="H119" s="43">
        <f t="shared" si="26"/>
        <v>14208.5</v>
      </c>
      <c r="I119" s="29">
        <f t="shared" si="24"/>
        <v>75.2</v>
      </c>
      <c r="L119" s="1" t="s">
        <v>156</v>
      </c>
    </row>
    <row r="120" spans="1:12">
      <c r="A120" s="22" t="s">
        <v>14</v>
      </c>
      <c r="B120" s="22"/>
      <c r="C120" s="49" t="s">
        <v>72</v>
      </c>
      <c r="D120" s="40" t="s">
        <v>4</v>
      </c>
      <c r="E120" s="28">
        <v>250000</v>
      </c>
      <c r="F120" s="28">
        <f>250000+10000</f>
        <v>260000</v>
      </c>
      <c r="G120" s="28">
        <v>247934.58</v>
      </c>
      <c r="H120" s="28">
        <v>9843.3799999999992</v>
      </c>
      <c r="I120" s="29">
        <f t="shared" si="24"/>
        <v>95.4</v>
      </c>
    </row>
    <row r="121" spans="1:12">
      <c r="A121" s="22" t="s">
        <v>14</v>
      </c>
      <c r="B121" s="22" t="s">
        <v>26</v>
      </c>
      <c r="C121" s="50" t="s">
        <v>72</v>
      </c>
      <c r="D121" s="45" t="s">
        <v>4</v>
      </c>
      <c r="E121" s="46">
        <v>2809000</v>
      </c>
      <c r="F121" s="46">
        <v>2809000</v>
      </c>
      <c r="G121" s="46">
        <v>2060358.97</v>
      </c>
      <c r="H121" s="46">
        <v>4365.12</v>
      </c>
      <c r="I121" s="47">
        <f t="shared" si="24"/>
        <v>73.3</v>
      </c>
    </row>
    <row r="122" spans="1:12">
      <c r="A122" s="22"/>
      <c r="B122" s="22"/>
      <c r="C122" s="41" t="s">
        <v>73</v>
      </c>
      <c r="D122" s="38"/>
      <c r="E122" s="37">
        <f>SUM(E123:E123)</f>
        <v>15000</v>
      </c>
      <c r="F122" s="37">
        <f>SUM(F123:F123)</f>
        <v>93984</v>
      </c>
      <c r="G122" s="37">
        <f t="shared" ref="G122:H122" si="27">SUM(G123:G123)</f>
        <v>87704.4</v>
      </c>
      <c r="H122" s="37">
        <f t="shared" si="27"/>
        <v>0</v>
      </c>
      <c r="I122" s="29">
        <f t="shared" si="24"/>
        <v>93.3</v>
      </c>
    </row>
    <row r="123" spans="1:12">
      <c r="A123" s="22" t="s">
        <v>14</v>
      </c>
      <c r="B123" s="22"/>
      <c r="C123" s="49" t="s">
        <v>74</v>
      </c>
      <c r="D123" s="40" t="s">
        <v>4</v>
      </c>
      <c r="E123" s="28">
        <v>15000</v>
      </c>
      <c r="F123" s="28">
        <f>83000+10984</f>
        <v>93984</v>
      </c>
      <c r="G123" s="28">
        <v>87704.4</v>
      </c>
      <c r="H123" s="28"/>
      <c r="I123" s="29">
        <f t="shared" si="24"/>
        <v>93.3</v>
      </c>
    </row>
    <row r="124" spans="1:12">
      <c r="A124" s="22" t="s">
        <v>14</v>
      </c>
      <c r="B124" s="22"/>
      <c r="C124" s="40" t="s">
        <v>167</v>
      </c>
      <c r="D124" s="40"/>
      <c r="E124" s="37">
        <f>SUM(E125:E126)</f>
        <v>24000</v>
      </c>
      <c r="F124" s="37">
        <f>SUM(F125:F126)</f>
        <v>24000</v>
      </c>
      <c r="G124" s="37">
        <f t="shared" ref="G124:H124" si="28">SUM(G125:G126)</f>
        <v>19989.22</v>
      </c>
      <c r="H124" s="37">
        <f t="shared" si="28"/>
        <v>3548.02</v>
      </c>
      <c r="I124" s="29">
        <f t="shared" si="24"/>
        <v>83.3</v>
      </c>
    </row>
    <row r="125" spans="1:12">
      <c r="A125" s="22" t="s">
        <v>14</v>
      </c>
      <c r="B125" s="22"/>
      <c r="C125" s="49" t="s">
        <v>75</v>
      </c>
      <c r="D125" s="40" t="s">
        <v>4</v>
      </c>
      <c r="E125" s="28">
        <v>20000</v>
      </c>
      <c r="F125" s="28">
        <f>SUM(E125:E125)</f>
        <v>20000</v>
      </c>
      <c r="G125" s="28">
        <v>19989.22</v>
      </c>
      <c r="H125" s="28">
        <v>3548.02</v>
      </c>
      <c r="I125" s="29">
        <f t="shared" si="24"/>
        <v>99.9</v>
      </c>
    </row>
    <row r="126" spans="1:12" ht="26.25">
      <c r="A126" s="22" t="s">
        <v>16</v>
      </c>
      <c r="B126" s="22"/>
      <c r="C126" s="49" t="s">
        <v>76</v>
      </c>
      <c r="D126" s="40" t="s">
        <v>4</v>
      </c>
      <c r="E126" s="28">
        <v>4000</v>
      </c>
      <c r="F126" s="28">
        <f>SUM(E126:E126)</f>
        <v>4000</v>
      </c>
      <c r="G126" s="28"/>
      <c r="H126" s="28"/>
      <c r="I126" s="29">
        <f t="shared" si="24"/>
        <v>0</v>
      </c>
    </row>
    <row r="127" spans="1:12">
      <c r="A127" s="22"/>
      <c r="B127" s="22"/>
      <c r="C127" s="75" t="s">
        <v>183</v>
      </c>
      <c r="D127" s="40"/>
      <c r="E127" s="28"/>
      <c r="F127" s="34">
        <f>SUM(F128)</f>
        <v>10000</v>
      </c>
      <c r="G127" s="34">
        <f t="shared" ref="G127" si="29">SUM(G128)</f>
        <v>10000</v>
      </c>
      <c r="H127" s="34"/>
      <c r="I127" s="26">
        <f t="shared" si="24"/>
        <v>100</v>
      </c>
    </row>
    <row r="128" spans="1:12">
      <c r="A128" s="22" t="s">
        <v>16</v>
      </c>
      <c r="B128" s="22"/>
      <c r="C128" s="49" t="s">
        <v>184</v>
      </c>
      <c r="D128" s="40" t="s">
        <v>7</v>
      </c>
      <c r="E128" s="28"/>
      <c r="F128" s="28">
        <v>10000</v>
      </c>
      <c r="G128" s="28">
        <v>10000</v>
      </c>
      <c r="H128" s="28"/>
      <c r="I128" s="29"/>
    </row>
    <row r="129" spans="1:11">
      <c r="A129" s="22" t="s">
        <v>14</v>
      </c>
      <c r="B129" s="22"/>
      <c r="C129" s="41" t="s">
        <v>77</v>
      </c>
      <c r="D129" s="41"/>
      <c r="E129" s="37">
        <f>SUM(E130:E132)</f>
        <v>147823</v>
      </c>
      <c r="F129" s="37">
        <f>SUM(F130:F133)</f>
        <v>160795</v>
      </c>
      <c r="G129" s="37">
        <f>SUM(G130:G133)</f>
        <v>153698</v>
      </c>
      <c r="H129" s="37">
        <f>SUM(H130:H133)</f>
        <v>4060</v>
      </c>
      <c r="I129" s="29">
        <f t="shared" si="24"/>
        <v>95.6</v>
      </c>
    </row>
    <row r="130" spans="1:11" ht="26.25">
      <c r="A130" s="22" t="s">
        <v>14</v>
      </c>
      <c r="B130" s="22"/>
      <c r="C130" s="53" t="s">
        <v>78</v>
      </c>
      <c r="D130" s="40" t="s">
        <v>7</v>
      </c>
      <c r="E130" s="28">
        <v>127823</v>
      </c>
      <c r="F130" s="28">
        <f>SUM(E130:E130)</f>
        <v>127823</v>
      </c>
      <c r="G130" s="28">
        <v>127823</v>
      </c>
      <c r="H130" s="28"/>
      <c r="I130" s="29">
        <f t="shared" si="24"/>
        <v>100</v>
      </c>
    </row>
    <row r="131" spans="1:11">
      <c r="A131" s="22" t="s">
        <v>14</v>
      </c>
      <c r="B131" s="22"/>
      <c r="C131" s="53" t="s">
        <v>150</v>
      </c>
      <c r="D131" s="40" t="s">
        <v>7</v>
      </c>
      <c r="E131" s="28"/>
      <c r="F131" s="28">
        <v>2972</v>
      </c>
      <c r="G131" s="28">
        <v>2972</v>
      </c>
      <c r="H131" s="28">
        <v>2972</v>
      </c>
      <c r="I131" s="29">
        <f t="shared" si="24"/>
        <v>100</v>
      </c>
    </row>
    <row r="132" spans="1:11">
      <c r="A132" s="22" t="s">
        <v>157</v>
      </c>
      <c r="B132" s="22"/>
      <c r="C132" s="40" t="s">
        <v>79</v>
      </c>
      <c r="D132" s="40" t="s">
        <v>7</v>
      </c>
      <c r="E132" s="28">
        <v>20000</v>
      </c>
      <c r="F132" s="28">
        <f>SUM(E132:E132)</f>
        <v>20000</v>
      </c>
      <c r="G132" s="28">
        <v>12903</v>
      </c>
      <c r="H132" s="28">
        <v>1088</v>
      </c>
      <c r="I132" s="29">
        <f t="shared" si="24"/>
        <v>64.5</v>
      </c>
    </row>
    <row r="133" spans="1:11" ht="26.25">
      <c r="A133" s="22" t="s">
        <v>16</v>
      </c>
      <c r="B133" s="22"/>
      <c r="C133" s="40" t="s">
        <v>124</v>
      </c>
      <c r="D133" s="40" t="s">
        <v>7</v>
      </c>
      <c r="E133" s="28"/>
      <c r="F133" s="28">
        <v>10000</v>
      </c>
      <c r="G133" s="28">
        <v>10000</v>
      </c>
      <c r="H133" s="28"/>
      <c r="I133" s="29">
        <f t="shared" si="24"/>
        <v>100</v>
      </c>
    </row>
    <row r="134" spans="1:11">
      <c r="A134" s="22"/>
      <c r="B134" s="22"/>
      <c r="C134" s="18" t="s">
        <v>80</v>
      </c>
      <c r="D134" s="18"/>
      <c r="E134" s="34">
        <f>SUM(E135,E149,E155,E163,E167,E172)</f>
        <v>6078376</v>
      </c>
      <c r="F134" s="34">
        <f>SUM(F135,F149,F155,F163,F167,F172)</f>
        <v>8300788.5999999996</v>
      </c>
      <c r="G134" s="34">
        <f>SUM(G135,G149,G155,G163,G167,G172)</f>
        <v>7552321.1299999999</v>
      </c>
      <c r="H134" s="34">
        <f>SUM(H135,H149,H155,H163,H167,H172)</f>
        <v>414268.15</v>
      </c>
      <c r="I134" s="26">
        <f t="shared" si="24"/>
        <v>91</v>
      </c>
    </row>
    <row r="135" spans="1:11">
      <c r="A135" s="22"/>
      <c r="B135" s="22"/>
      <c r="C135" s="52" t="s">
        <v>81</v>
      </c>
      <c r="D135" s="18"/>
      <c r="E135" s="42">
        <f>SUM(E136:E144)</f>
        <v>3258570</v>
      </c>
      <c r="F135" s="43">
        <f>SUM(F136:F148)</f>
        <v>3710947</v>
      </c>
      <c r="G135" s="43">
        <f t="shared" ref="G135:H135" si="30">SUM(G136:G148)</f>
        <v>3700993.9799999995</v>
      </c>
      <c r="H135" s="43">
        <f t="shared" si="30"/>
        <v>164319.54999999999</v>
      </c>
      <c r="I135" s="29">
        <f t="shared" si="24"/>
        <v>99.7</v>
      </c>
      <c r="K135" s="7"/>
    </row>
    <row r="136" spans="1:11">
      <c r="A136" s="22" t="s">
        <v>12</v>
      </c>
      <c r="B136" s="22"/>
      <c r="C136" s="30" t="s">
        <v>82</v>
      </c>
      <c r="D136" s="30" t="s">
        <v>7</v>
      </c>
      <c r="E136" s="28">
        <v>21570</v>
      </c>
      <c r="F136" s="28">
        <f>SUM(E136:E136)</f>
        <v>21570</v>
      </c>
      <c r="G136" s="28">
        <v>21579</v>
      </c>
      <c r="H136" s="28"/>
      <c r="I136" s="29">
        <f t="shared" si="24"/>
        <v>100</v>
      </c>
    </row>
    <row r="137" spans="1:11">
      <c r="A137" s="22" t="s">
        <v>14</v>
      </c>
      <c r="B137" s="22"/>
      <c r="C137" s="30" t="s">
        <v>83</v>
      </c>
      <c r="D137" s="30" t="s">
        <v>4</v>
      </c>
      <c r="E137" s="28">
        <v>2459000</v>
      </c>
      <c r="F137" s="28">
        <f>2459000+20000</f>
        <v>2479000</v>
      </c>
      <c r="G137" s="28">
        <v>2469527.4500000002</v>
      </c>
      <c r="H137" s="28">
        <v>8477.7999999999993</v>
      </c>
      <c r="I137" s="29">
        <f t="shared" si="24"/>
        <v>99.6</v>
      </c>
    </row>
    <row r="138" spans="1:11">
      <c r="A138" s="22" t="s">
        <v>14</v>
      </c>
      <c r="B138" s="22" t="s">
        <v>84</v>
      </c>
      <c r="C138" s="51" t="s">
        <v>83</v>
      </c>
      <c r="D138" s="51" t="s">
        <v>4</v>
      </c>
      <c r="E138" s="46">
        <v>488000</v>
      </c>
      <c r="F138" s="46">
        <v>488000</v>
      </c>
      <c r="G138" s="46">
        <v>543231.32999999996</v>
      </c>
      <c r="H138" s="46"/>
      <c r="I138" s="47">
        <f t="shared" si="24"/>
        <v>111.3</v>
      </c>
    </row>
    <row r="139" spans="1:11" ht="26.25">
      <c r="A139" s="22" t="s">
        <v>14</v>
      </c>
      <c r="B139" s="22"/>
      <c r="C139" s="30" t="s">
        <v>178</v>
      </c>
      <c r="D139" s="30" t="s">
        <v>4</v>
      </c>
      <c r="E139" s="28"/>
      <c r="F139" s="28">
        <f>25297+44703</f>
        <v>70000</v>
      </c>
      <c r="G139" s="28">
        <v>69836.399999999994</v>
      </c>
      <c r="H139" s="28"/>
      <c r="I139" s="44">
        <f t="shared" si="24"/>
        <v>99.8</v>
      </c>
    </row>
    <row r="140" spans="1:11">
      <c r="A140" s="22" t="s">
        <v>14</v>
      </c>
      <c r="B140" s="22"/>
      <c r="C140" s="30" t="s">
        <v>177</v>
      </c>
      <c r="D140" s="30" t="s">
        <v>4</v>
      </c>
      <c r="E140" s="28">
        <v>50000</v>
      </c>
      <c r="F140" s="28">
        <f>50000+20000+70297</f>
        <v>140297</v>
      </c>
      <c r="G140" s="28">
        <v>130075.3</v>
      </c>
      <c r="H140" s="28">
        <v>99588.14</v>
      </c>
      <c r="I140" s="29">
        <f t="shared" si="24"/>
        <v>92.7</v>
      </c>
    </row>
    <row r="141" spans="1:11">
      <c r="A141" s="22" t="s">
        <v>14</v>
      </c>
      <c r="B141" s="22"/>
      <c r="C141" s="30" t="s">
        <v>85</v>
      </c>
      <c r="D141" s="30" t="s">
        <v>4</v>
      </c>
      <c r="E141" s="28">
        <v>130000</v>
      </c>
      <c r="F141" s="28">
        <f>130000-47000</f>
        <v>83000</v>
      </c>
      <c r="G141" s="28">
        <v>70806.45</v>
      </c>
      <c r="H141" s="28"/>
      <c r="I141" s="29">
        <f t="shared" si="24"/>
        <v>85.3</v>
      </c>
    </row>
    <row r="142" spans="1:11">
      <c r="A142" s="22" t="s">
        <v>14</v>
      </c>
      <c r="B142" s="22"/>
      <c r="C142" s="30" t="s">
        <v>86</v>
      </c>
      <c r="D142" s="30" t="s">
        <v>4</v>
      </c>
      <c r="E142" s="28">
        <v>45000</v>
      </c>
      <c r="F142" s="28">
        <f>45000+37000</f>
        <v>82000</v>
      </c>
      <c r="G142" s="28">
        <v>53303.839999999997</v>
      </c>
      <c r="H142" s="28">
        <v>33323.839999999997</v>
      </c>
      <c r="I142" s="29">
        <f t="shared" si="24"/>
        <v>65</v>
      </c>
    </row>
    <row r="143" spans="1:11">
      <c r="A143" s="22" t="s">
        <v>14</v>
      </c>
      <c r="B143" s="22"/>
      <c r="C143" s="30" t="s">
        <v>87</v>
      </c>
      <c r="D143" s="30" t="s">
        <v>4</v>
      </c>
      <c r="E143" s="28">
        <v>40000</v>
      </c>
      <c r="F143" s="28">
        <f>40000+41000</f>
        <v>81000</v>
      </c>
      <c r="G143" s="28">
        <v>80961.36</v>
      </c>
      <c r="H143" s="28"/>
      <c r="I143" s="29">
        <f t="shared" si="24"/>
        <v>100</v>
      </c>
    </row>
    <row r="144" spans="1:11">
      <c r="A144" s="22" t="s">
        <v>14</v>
      </c>
      <c r="B144" s="22"/>
      <c r="C144" s="30" t="s">
        <v>88</v>
      </c>
      <c r="D144" s="30" t="s">
        <v>4</v>
      </c>
      <c r="E144" s="28">
        <v>25000</v>
      </c>
      <c r="F144" s="28">
        <f>25000-5000</f>
        <v>20000</v>
      </c>
      <c r="G144" s="28">
        <v>20084.21</v>
      </c>
      <c r="H144" s="28"/>
      <c r="I144" s="29">
        <f t="shared" si="24"/>
        <v>100.4</v>
      </c>
    </row>
    <row r="145" spans="1:9">
      <c r="A145" s="22" t="s">
        <v>14</v>
      </c>
      <c r="B145" s="22"/>
      <c r="C145" s="30" t="s">
        <v>126</v>
      </c>
      <c r="D145" s="30" t="s">
        <v>4</v>
      </c>
      <c r="E145" s="28"/>
      <c r="F145" s="28">
        <f>130000-46500</f>
        <v>83500</v>
      </c>
      <c r="G145" s="28">
        <v>78882</v>
      </c>
      <c r="H145" s="28"/>
      <c r="I145" s="29">
        <f t="shared" si="24"/>
        <v>94.5</v>
      </c>
    </row>
    <row r="146" spans="1:9">
      <c r="A146" s="22" t="s">
        <v>14</v>
      </c>
      <c r="B146" s="22"/>
      <c r="C146" s="30" t="s">
        <v>125</v>
      </c>
      <c r="D146" s="30" t="s">
        <v>4</v>
      </c>
      <c r="E146" s="28"/>
      <c r="F146" s="28">
        <f>5000+115000</f>
        <v>120000</v>
      </c>
      <c r="G146" s="28">
        <v>120510.03</v>
      </c>
      <c r="H146" s="28">
        <v>-7341.35</v>
      </c>
      <c r="I146" s="29">
        <f t="shared" si="24"/>
        <v>100.4</v>
      </c>
    </row>
    <row r="147" spans="1:9">
      <c r="A147" s="22" t="s">
        <v>14</v>
      </c>
      <c r="B147" s="22"/>
      <c r="C147" s="51" t="s">
        <v>125</v>
      </c>
      <c r="D147" s="51" t="s">
        <v>4</v>
      </c>
      <c r="E147" s="46"/>
      <c r="F147" s="46">
        <v>27580</v>
      </c>
      <c r="G147" s="46">
        <v>27579.27</v>
      </c>
      <c r="H147" s="46">
        <v>27579.27</v>
      </c>
      <c r="I147" s="47">
        <f t="shared" si="24"/>
        <v>100</v>
      </c>
    </row>
    <row r="148" spans="1:9">
      <c r="A148" s="22" t="s">
        <v>14</v>
      </c>
      <c r="B148" s="22"/>
      <c r="C148" s="30" t="s">
        <v>127</v>
      </c>
      <c r="D148" s="30" t="s">
        <v>4</v>
      </c>
      <c r="E148" s="28"/>
      <c r="F148" s="28">
        <v>15000</v>
      </c>
      <c r="G148" s="28">
        <v>14617.34</v>
      </c>
      <c r="H148" s="28">
        <v>2691.85</v>
      </c>
      <c r="I148" s="29">
        <f t="shared" si="24"/>
        <v>97.4</v>
      </c>
    </row>
    <row r="149" spans="1:9">
      <c r="A149" s="22"/>
      <c r="B149" s="22"/>
      <c r="C149" s="52" t="s">
        <v>89</v>
      </c>
      <c r="D149" s="18"/>
      <c r="E149" s="37">
        <f>SUM(E150:E154)</f>
        <v>415000</v>
      </c>
      <c r="F149" s="37">
        <f>SUM(F150:F154)</f>
        <v>613333</v>
      </c>
      <c r="G149" s="37">
        <f t="shared" ref="G149:H149" si="31">SUM(G150:G154)</f>
        <v>569141.06999999995</v>
      </c>
      <c r="H149" s="37">
        <f t="shared" si="31"/>
        <v>84900</v>
      </c>
      <c r="I149" s="29">
        <f t="shared" si="24"/>
        <v>92.8</v>
      </c>
    </row>
    <row r="150" spans="1:9">
      <c r="A150" s="22" t="s">
        <v>14</v>
      </c>
      <c r="B150" s="22"/>
      <c r="C150" s="30" t="s">
        <v>90</v>
      </c>
      <c r="D150" s="30" t="s">
        <v>4</v>
      </c>
      <c r="E150" s="28">
        <v>310000</v>
      </c>
      <c r="F150" s="28">
        <f>310000-32000</f>
        <v>278000</v>
      </c>
      <c r="G150" s="28">
        <v>277227.24</v>
      </c>
      <c r="H150" s="28"/>
      <c r="I150" s="29">
        <f t="shared" si="24"/>
        <v>99.7</v>
      </c>
    </row>
    <row r="151" spans="1:9">
      <c r="A151" s="22" t="s">
        <v>14</v>
      </c>
      <c r="B151" s="22"/>
      <c r="C151" s="30" t="s">
        <v>91</v>
      </c>
      <c r="D151" s="30" t="s">
        <v>4</v>
      </c>
      <c r="E151" s="28">
        <v>100000</v>
      </c>
      <c r="F151" s="28">
        <f>100000+66000</f>
        <v>166000</v>
      </c>
      <c r="G151" s="28">
        <v>165023.82999999999</v>
      </c>
      <c r="H151" s="28"/>
      <c r="I151" s="29">
        <f t="shared" si="24"/>
        <v>99.4</v>
      </c>
    </row>
    <row r="152" spans="1:9">
      <c r="A152" s="22" t="s">
        <v>14</v>
      </c>
      <c r="B152" s="22"/>
      <c r="C152" s="30" t="s">
        <v>128</v>
      </c>
      <c r="D152" s="30" t="s">
        <v>4</v>
      </c>
      <c r="E152" s="28"/>
      <c r="F152" s="28">
        <f>135513+17000</f>
        <v>152513</v>
      </c>
      <c r="G152" s="28">
        <v>110070</v>
      </c>
      <c r="H152" s="28">
        <v>84900</v>
      </c>
      <c r="I152" s="29">
        <f t="shared" si="24"/>
        <v>72.2</v>
      </c>
    </row>
    <row r="153" spans="1:9">
      <c r="A153" s="22" t="s">
        <v>14</v>
      </c>
      <c r="B153" s="22"/>
      <c r="C153" s="30" t="s">
        <v>158</v>
      </c>
      <c r="D153" s="30" t="s">
        <v>4</v>
      </c>
      <c r="E153" s="28"/>
      <c r="F153" s="28">
        <v>11820</v>
      </c>
      <c r="G153" s="28">
        <v>11820</v>
      </c>
      <c r="H153" s="28"/>
      <c r="I153" s="29">
        <f t="shared" si="24"/>
        <v>100</v>
      </c>
    </row>
    <row r="154" spans="1:9" ht="42" customHeight="1">
      <c r="A154" s="22" t="s">
        <v>10</v>
      </c>
      <c r="B154" s="22"/>
      <c r="C154" s="30" t="s">
        <v>92</v>
      </c>
      <c r="D154" s="30" t="s">
        <v>7</v>
      </c>
      <c r="E154" s="28">
        <v>5000</v>
      </c>
      <c r="F154" s="28">
        <f>SUM(E154:E154)</f>
        <v>5000</v>
      </c>
      <c r="G154" s="28">
        <v>5000</v>
      </c>
      <c r="H154" s="28"/>
      <c r="I154" s="29">
        <f t="shared" si="24"/>
        <v>100</v>
      </c>
    </row>
    <row r="155" spans="1:9">
      <c r="A155" s="22"/>
      <c r="B155" s="22"/>
      <c r="C155" s="54" t="s">
        <v>93</v>
      </c>
      <c r="D155" s="55"/>
      <c r="E155" s="56">
        <f>SUM(E156:E162)</f>
        <v>489500</v>
      </c>
      <c r="F155" s="56">
        <f>SUM(F156:F162)</f>
        <v>612534</v>
      </c>
      <c r="G155" s="56">
        <f>SUM(G156:G162)</f>
        <v>586785.44000000006</v>
      </c>
      <c r="H155" s="56">
        <f>SUM(H156:H162)</f>
        <v>47367.58</v>
      </c>
      <c r="I155" s="29">
        <f t="shared" si="24"/>
        <v>95.8</v>
      </c>
    </row>
    <row r="156" spans="1:9">
      <c r="A156" s="22" t="s">
        <v>14</v>
      </c>
      <c r="B156" s="22"/>
      <c r="C156" s="57" t="s">
        <v>94</v>
      </c>
      <c r="D156" s="57" t="s">
        <v>4</v>
      </c>
      <c r="E156" s="58">
        <v>60000</v>
      </c>
      <c r="F156" s="28">
        <f>60000+30054</f>
        <v>90054</v>
      </c>
      <c r="G156" s="28">
        <v>89654.62</v>
      </c>
      <c r="H156" s="28"/>
      <c r="I156" s="29">
        <f t="shared" si="24"/>
        <v>99.6</v>
      </c>
    </row>
    <row r="157" spans="1:9">
      <c r="A157" s="22" t="s">
        <v>14</v>
      </c>
      <c r="B157" s="22"/>
      <c r="C157" s="57" t="s">
        <v>95</v>
      </c>
      <c r="D157" s="57" t="s">
        <v>4</v>
      </c>
      <c r="E157" s="58">
        <f>-30000+210000</f>
        <v>180000</v>
      </c>
      <c r="F157" s="28">
        <f>180000+22680-7700</f>
        <v>194980</v>
      </c>
      <c r="G157" s="28">
        <v>194495.19</v>
      </c>
      <c r="H157" s="28"/>
      <c r="I157" s="29">
        <f t="shared" si="24"/>
        <v>99.8</v>
      </c>
    </row>
    <row r="158" spans="1:9">
      <c r="A158" s="22" t="s">
        <v>14</v>
      </c>
      <c r="B158" s="22"/>
      <c r="C158" s="57" t="s">
        <v>96</v>
      </c>
      <c r="D158" s="57" t="s">
        <v>4</v>
      </c>
      <c r="E158" s="58">
        <v>100000</v>
      </c>
      <c r="F158" s="28">
        <f>100000+65000</f>
        <v>165000</v>
      </c>
      <c r="G158" s="28">
        <v>136928.32000000001</v>
      </c>
      <c r="H158" s="28">
        <v>13051.4</v>
      </c>
      <c r="I158" s="29">
        <f t="shared" si="24"/>
        <v>83</v>
      </c>
    </row>
    <row r="159" spans="1:9">
      <c r="A159" s="22" t="s">
        <v>14</v>
      </c>
      <c r="B159" s="22"/>
      <c r="C159" s="57" t="s">
        <v>97</v>
      </c>
      <c r="D159" s="57" t="s">
        <v>4</v>
      </c>
      <c r="E159" s="58">
        <v>70000</v>
      </c>
      <c r="F159" s="28">
        <f>70000+13000</f>
        <v>83000</v>
      </c>
      <c r="G159" s="28">
        <v>83044.75</v>
      </c>
      <c r="H159" s="28">
        <v>34316.18</v>
      </c>
      <c r="I159" s="29">
        <f t="shared" si="24"/>
        <v>100.1</v>
      </c>
    </row>
    <row r="160" spans="1:9">
      <c r="A160" s="22" t="s">
        <v>14</v>
      </c>
      <c r="B160" s="22"/>
      <c r="C160" s="57" t="s">
        <v>98</v>
      </c>
      <c r="D160" s="57" t="s">
        <v>4</v>
      </c>
      <c r="E160" s="58">
        <v>39000</v>
      </c>
      <c r="F160" s="28">
        <f t="shared" ref="F160:F162" si="32">SUM(E160:E160)</f>
        <v>39000</v>
      </c>
      <c r="G160" s="28">
        <v>39300.54</v>
      </c>
      <c r="H160" s="28"/>
      <c r="I160" s="29">
        <f t="shared" si="24"/>
        <v>100.8</v>
      </c>
    </row>
    <row r="161" spans="1:9">
      <c r="A161" s="22" t="s">
        <v>14</v>
      </c>
      <c r="B161" s="22"/>
      <c r="C161" s="57" t="s">
        <v>99</v>
      </c>
      <c r="D161" s="57" t="s">
        <v>4</v>
      </c>
      <c r="E161" s="58">
        <f>3000+35000</f>
        <v>38000</v>
      </c>
      <c r="F161" s="28">
        <f t="shared" si="32"/>
        <v>38000</v>
      </c>
      <c r="G161" s="28">
        <v>38454.019999999997</v>
      </c>
      <c r="H161" s="28"/>
      <c r="I161" s="29">
        <f t="shared" si="24"/>
        <v>101.2</v>
      </c>
    </row>
    <row r="162" spans="1:9" ht="26.25">
      <c r="A162" s="22" t="s">
        <v>12</v>
      </c>
      <c r="B162" s="22"/>
      <c r="C162" s="30" t="s">
        <v>100</v>
      </c>
      <c r="D162" s="57" t="s">
        <v>4</v>
      </c>
      <c r="E162" s="58">
        <v>2500</v>
      </c>
      <c r="F162" s="28">
        <f t="shared" si="32"/>
        <v>2500</v>
      </c>
      <c r="G162" s="28">
        <v>4908</v>
      </c>
      <c r="H162" s="28"/>
      <c r="I162" s="29">
        <f t="shared" si="24"/>
        <v>196.3</v>
      </c>
    </row>
    <row r="163" spans="1:9">
      <c r="A163" s="22"/>
      <c r="B163" s="22"/>
      <c r="C163" s="30" t="s">
        <v>168</v>
      </c>
      <c r="D163" s="57"/>
      <c r="E163" s="56">
        <f>SUM(E164:E166)</f>
        <v>1538000</v>
      </c>
      <c r="F163" s="56">
        <f>SUM(F164:F166)</f>
        <v>1629742</v>
      </c>
      <c r="G163" s="56">
        <f t="shared" ref="G163:H163" si="33">SUM(G164:G166)</f>
        <v>1224147.5</v>
      </c>
      <c r="H163" s="56">
        <f t="shared" si="33"/>
        <v>3069.5</v>
      </c>
      <c r="I163" s="29">
        <f t="shared" si="24"/>
        <v>75.099999999999994</v>
      </c>
    </row>
    <row r="164" spans="1:9">
      <c r="A164" s="22" t="s">
        <v>14</v>
      </c>
      <c r="B164" s="22"/>
      <c r="C164" s="30" t="s">
        <v>101</v>
      </c>
      <c r="D164" s="57" t="s">
        <v>4</v>
      </c>
      <c r="E164" s="58">
        <v>1188000</v>
      </c>
      <c r="F164" s="28">
        <f>SUM(E164:E164)</f>
        <v>1188000</v>
      </c>
      <c r="G164" s="28">
        <v>1188150</v>
      </c>
      <c r="H164" s="28"/>
      <c r="I164" s="29">
        <f t="shared" si="24"/>
        <v>100</v>
      </c>
    </row>
    <row r="165" spans="1:9" ht="26.25">
      <c r="A165" s="22" t="s">
        <v>14</v>
      </c>
      <c r="B165" s="22"/>
      <c r="C165" s="59" t="s">
        <v>179</v>
      </c>
      <c r="D165" s="60" t="s">
        <v>4</v>
      </c>
      <c r="E165" s="61"/>
      <c r="F165" s="62">
        <v>421742</v>
      </c>
      <c r="G165" s="62">
        <v>32928</v>
      </c>
      <c r="H165" s="62"/>
      <c r="I165" s="47">
        <f t="shared" si="24"/>
        <v>7.8</v>
      </c>
    </row>
    <row r="166" spans="1:9" ht="26.25">
      <c r="A166" s="22" t="s">
        <v>14</v>
      </c>
      <c r="B166" s="22"/>
      <c r="C166" s="30" t="s">
        <v>102</v>
      </c>
      <c r="D166" s="57" t="s">
        <v>4</v>
      </c>
      <c r="E166" s="28">
        <v>350000</v>
      </c>
      <c r="F166" s="28">
        <f>350000-330000</f>
        <v>20000</v>
      </c>
      <c r="G166" s="28">
        <v>3069.5</v>
      </c>
      <c r="H166" s="28">
        <f>2400+669.5</f>
        <v>3069.5</v>
      </c>
      <c r="I166" s="29">
        <f t="shared" si="24"/>
        <v>15.3</v>
      </c>
    </row>
    <row r="167" spans="1:9">
      <c r="A167" s="22"/>
      <c r="B167" s="22"/>
      <c r="C167" s="30" t="s">
        <v>169</v>
      </c>
      <c r="D167" s="57"/>
      <c r="E167" s="63">
        <f>SUM(E168)</f>
        <v>47306</v>
      </c>
      <c r="F167" s="37">
        <f>SUM(F168:F171)</f>
        <v>975482.60000000009</v>
      </c>
      <c r="G167" s="37">
        <f t="shared" ref="G167:H167" si="34">SUM(G168:G171)</f>
        <v>734069.60000000009</v>
      </c>
      <c r="H167" s="37">
        <f t="shared" si="34"/>
        <v>34536.699999999997</v>
      </c>
      <c r="I167" s="29">
        <f t="shared" si="24"/>
        <v>75.3</v>
      </c>
    </row>
    <row r="168" spans="1:9" ht="26.25">
      <c r="A168" s="22" t="s">
        <v>12</v>
      </c>
      <c r="B168" s="22" t="s">
        <v>26</v>
      </c>
      <c r="C168" s="51" t="s">
        <v>116</v>
      </c>
      <c r="D168" s="64" t="s">
        <v>4</v>
      </c>
      <c r="E168" s="46">
        <v>47306</v>
      </c>
      <c r="F168" s="46">
        <f>47306+27157.3+59027</f>
        <v>133490.29999999999</v>
      </c>
      <c r="G168" s="46">
        <v>182640.3</v>
      </c>
      <c r="H168" s="46">
        <v>24878.3</v>
      </c>
      <c r="I168" s="47">
        <f t="shared" si="24"/>
        <v>136.80000000000001</v>
      </c>
    </row>
    <row r="169" spans="1:9" ht="26.25">
      <c r="A169" s="22" t="s">
        <v>12</v>
      </c>
      <c r="B169" s="22"/>
      <c r="C169" s="65" t="s">
        <v>159</v>
      </c>
      <c r="D169" s="66" t="s">
        <v>4</v>
      </c>
      <c r="E169" s="67"/>
      <c r="F169" s="67">
        <v>614797.30000000005</v>
      </c>
      <c r="G169" s="28">
        <v>359074.2</v>
      </c>
      <c r="H169" s="28">
        <v>9658.4</v>
      </c>
      <c r="I169" s="29">
        <f t="shared" si="24"/>
        <v>58.4</v>
      </c>
    </row>
    <row r="170" spans="1:9">
      <c r="A170" s="22" t="s">
        <v>12</v>
      </c>
      <c r="B170" s="22"/>
      <c r="C170" s="68" t="s">
        <v>117</v>
      </c>
      <c r="D170" s="69" t="s">
        <v>4</v>
      </c>
      <c r="E170" s="70"/>
      <c r="F170" s="70">
        <v>227195</v>
      </c>
      <c r="G170" s="70">
        <v>192296.3</v>
      </c>
      <c r="H170" s="70"/>
      <c r="I170" s="71">
        <f t="shared" si="24"/>
        <v>84.6</v>
      </c>
    </row>
    <row r="171" spans="1:9">
      <c r="A171" s="22" t="s">
        <v>14</v>
      </c>
      <c r="B171" s="22"/>
      <c r="C171" s="65" t="s">
        <v>103</v>
      </c>
      <c r="D171" s="66" t="s">
        <v>4</v>
      </c>
      <c r="E171" s="67"/>
      <c r="F171" s="67"/>
      <c r="G171" s="28">
        <v>58.8</v>
      </c>
      <c r="H171" s="28"/>
      <c r="I171" s="29"/>
    </row>
    <row r="172" spans="1:9">
      <c r="A172" s="22"/>
      <c r="B172" s="22"/>
      <c r="C172" s="52" t="s">
        <v>104</v>
      </c>
      <c r="D172" s="18"/>
      <c r="E172" s="37">
        <f>SUM(E173:E174)</f>
        <v>330000</v>
      </c>
      <c r="F172" s="37">
        <f>SUM(F173:F175)</f>
        <v>758750</v>
      </c>
      <c r="G172" s="37">
        <f>SUM(G173:G175)</f>
        <v>737183.54</v>
      </c>
      <c r="H172" s="37">
        <f>SUM(H173:H175)</f>
        <v>80074.820000000007</v>
      </c>
      <c r="I172" s="29">
        <f t="shared" si="24"/>
        <v>97.2</v>
      </c>
    </row>
    <row r="173" spans="1:9">
      <c r="A173" s="22" t="s">
        <v>14</v>
      </c>
      <c r="B173" s="22"/>
      <c r="C173" s="30" t="s">
        <v>105</v>
      </c>
      <c r="D173" s="30" t="s">
        <v>4</v>
      </c>
      <c r="E173" s="28">
        <v>250000</v>
      </c>
      <c r="F173" s="28">
        <f>250000+40000</f>
        <v>290000</v>
      </c>
      <c r="G173" s="28">
        <v>280476.51</v>
      </c>
      <c r="H173" s="28">
        <v>50200.82</v>
      </c>
      <c r="I173" s="29">
        <f t="shared" si="24"/>
        <v>96.7</v>
      </c>
    </row>
    <row r="174" spans="1:9" ht="26.25">
      <c r="A174" s="22" t="s">
        <v>14</v>
      </c>
      <c r="B174" s="22"/>
      <c r="C174" s="30" t="s">
        <v>106</v>
      </c>
      <c r="D174" s="30" t="s">
        <v>4</v>
      </c>
      <c r="E174" s="28">
        <v>80000</v>
      </c>
      <c r="F174" s="28">
        <f>80000+3950</f>
        <v>83950</v>
      </c>
      <c r="G174" s="28">
        <v>71907.520000000004</v>
      </c>
      <c r="H174" s="28">
        <v>29874</v>
      </c>
      <c r="I174" s="29">
        <f t="shared" si="24"/>
        <v>85.7</v>
      </c>
    </row>
    <row r="175" spans="1:9">
      <c r="A175" s="22" t="s">
        <v>14</v>
      </c>
      <c r="B175" s="22"/>
      <c r="C175" s="30" t="s">
        <v>107</v>
      </c>
      <c r="D175" s="30" t="s">
        <v>4</v>
      </c>
      <c r="E175" s="28"/>
      <c r="F175" s="28">
        <v>384800</v>
      </c>
      <c r="G175" s="28">
        <v>384799.51</v>
      </c>
      <c r="H175" s="28"/>
      <c r="I175" s="29">
        <f t="shared" si="24"/>
        <v>100</v>
      </c>
    </row>
    <row r="176" spans="1:9" ht="22.5" customHeight="1">
      <c r="A176" s="22"/>
      <c r="B176" s="22"/>
      <c r="C176" s="18" t="s">
        <v>108</v>
      </c>
      <c r="D176" s="18"/>
      <c r="E176" s="34">
        <f>SUM(E177,E184)</f>
        <v>99200</v>
      </c>
      <c r="F176" s="34">
        <f>SUM(F177,F184,F181)</f>
        <v>119338</v>
      </c>
      <c r="G176" s="34">
        <f>SUM(G177,G184,G181)</f>
        <v>119704</v>
      </c>
      <c r="H176" s="34">
        <f>SUM(H177,H184,H181)</f>
        <v>8760</v>
      </c>
      <c r="I176" s="26">
        <f t="shared" si="24"/>
        <v>100.3</v>
      </c>
    </row>
    <row r="177" spans="1:9">
      <c r="A177" s="22"/>
      <c r="B177" s="22"/>
      <c r="C177" s="18" t="s">
        <v>170</v>
      </c>
      <c r="D177" s="18"/>
      <c r="E177" s="37">
        <f>SUM(E178)</f>
        <v>7200</v>
      </c>
      <c r="F177" s="37">
        <f>SUM(F178:F180)</f>
        <v>21380</v>
      </c>
      <c r="G177" s="37">
        <f t="shared" ref="G177:H177" si="35">SUM(G178:G180)</f>
        <v>21370.799999999999</v>
      </c>
      <c r="H177" s="37">
        <f t="shared" si="35"/>
        <v>8760</v>
      </c>
      <c r="I177" s="29">
        <f t="shared" si="24"/>
        <v>100</v>
      </c>
    </row>
    <row r="178" spans="1:9">
      <c r="A178" s="22" t="s">
        <v>109</v>
      </c>
      <c r="B178" s="22"/>
      <c r="C178" s="30" t="s">
        <v>110</v>
      </c>
      <c r="D178" s="30" t="s">
        <v>4</v>
      </c>
      <c r="E178" s="28">
        <v>7200</v>
      </c>
      <c r="F178" s="28">
        <v>7200</v>
      </c>
      <c r="G178" s="28">
        <v>7152</v>
      </c>
      <c r="H178" s="28"/>
      <c r="I178" s="29">
        <f t="shared" si="24"/>
        <v>99.3</v>
      </c>
    </row>
    <row r="179" spans="1:9">
      <c r="A179" s="22" t="s">
        <v>109</v>
      </c>
      <c r="B179" s="22"/>
      <c r="C179" s="30" t="s">
        <v>129</v>
      </c>
      <c r="D179" s="30" t="s">
        <v>4</v>
      </c>
      <c r="E179" s="28"/>
      <c r="F179" s="28">
        <v>5420</v>
      </c>
      <c r="G179" s="28">
        <v>5458.8</v>
      </c>
      <c r="H179" s="28"/>
      <c r="I179" s="29">
        <f t="shared" si="24"/>
        <v>100.7</v>
      </c>
    </row>
    <row r="180" spans="1:9">
      <c r="A180" s="22" t="s">
        <v>109</v>
      </c>
      <c r="B180" s="22"/>
      <c r="C180" s="30" t="s">
        <v>180</v>
      </c>
      <c r="D180" s="30" t="s">
        <v>4</v>
      </c>
      <c r="E180" s="28"/>
      <c r="F180" s="28">
        <v>8760</v>
      </c>
      <c r="G180" s="28">
        <v>8760</v>
      </c>
      <c r="H180" s="28">
        <v>8760</v>
      </c>
      <c r="I180" s="29">
        <f t="shared" si="24"/>
        <v>100</v>
      </c>
    </row>
    <row r="181" spans="1:9">
      <c r="A181" s="22"/>
      <c r="B181" s="22"/>
      <c r="C181" s="52" t="s">
        <v>130</v>
      </c>
      <c r="D181" s="30"/>
      <c r="E181" s="28"/>
      <c r="F181" s="34">
        <f>SUM(F182,F183)</f>
        <v>5958</v>
      </c>
      <c r="G181" s="34">
        <f t="shared" ref="G181:H181" si="36">SUM(G182,G183)</f>
        <v>6333.2</v>
      </c>
      <c r="H181" s="34">
        <f t="shared" si="36"/>
        <v>0</v>
      </c>
      <c r="I181" s="29">
        <f t="shared" si="24"/>
        <v>106.3</v>
      </c>
    </row>
    <row r="182" spans="1:9" ht="26.25">
      <c r="A182" s="22" t="s">
        <v>14</v>
      </c>
      <c r="B182" s="22"/>
      <c r="C182" s="30" t="s">
        <v>131</v>
      </c>
      <c r="D182" s="30" t="s">
        <v>4</v>
      </c>
      <c r="E182" s="28"/>
      <c r="F182" s="28">
        <v>3000</v>
      </c>
      <c r="G182" s="28">
        <v>3375.2</v>
      </c>
      <c r="H182" s="28"/>
      <c r="I182" s="29">
        <f t="shared" si="24"/>
        <v>112.5</v>
      </c>
    </row>
    <row r="183" spans="1:9">
      <c r="A183" s="22" t="s">
        <v>109</v>
      </c>
      <c r="B183" s="22"/>
      <c r="C183" s="76" t="s">
        <v>188</v>
      </c>
      <c r="D183" s="76" t="s">
        <v>4</v>
      </c>
      <c r="E183" s="78"/>
      <c r="F183" s="78">
        <v>2958</v>
      </c>
      <c r="G183" s="78">
        <v>2958</v>
      </c>
      <c r="H183" s="78"/>
      <c r="I183" s="79">
        <f t="shared" si="24"/>
        <v>100</v>
      </c>
    </row>
    <row r="184" spans="1:9">
      <c r="A184" s="22"/>
      <c r="B184" s="22"/>
      <c r="C184" s="52" t="s">
        <v>111</v>
      </c>
      <c r="D184" s="52"/>
      <c r="E184" s="37">
        <f>SUM(E185)</f>
        <v>92000</v>
      </c>
      <c r="F184" s="37">
        <f>SUM(F185)</f>
        <v>92000</v>
      </c>
      <c r="G184" s="37">
        <f t="shared" ref="G184:H184" si="37">SUM(G185)</f>
        <v>92000</v>
      </c>
      <c r="H184" s="37">
        <f t="shared" si="37"/>
        <v>0</v>
      </c>
      <c r="I184" s="29">
        <f t="shared" si="24"/>
        <v>100</v>
      </c>
    </row>
    <row r="185" spans="1:9">
      <c r="A185" s="22" t="s">
        <v>14</v>
      </c>
      <c r="B185" s="22"/>
      <c r="C185" s="30" t="s">
        <v>112</v>
      </c>
      <c r="D185" s="30" t="s">
        <v>7</v>
      </c>
      <c r="E185" s="28">
        <v>92000</v>
      </c>
      <c r="F185" s="28">
        <f>SUM(E185:E185)</f>
        <v>92000</v>
      </c>
      <c r="G185" s="28">
        <v>92000</v>
      </c>
      <c r="H185" s="28"/>
      <c r="I185" s="29">
        <f t="shared" si="24"/>
        <v>100</v>
      </c>
    </row>
    <row r="186" spans="1:9">
      <c r="A186" s="32"/>
      <c r="B186" s="32"/>
      <c r="C186" s="31"/>
      <c r="D186" s="31"/>
      <c r="E186" s="33"/>
      <c r="F186" s="33"/>
      <c r="G186" s="33"/>
      <c r="H186" s="33"/>
      <c r="I186" s="72"/>
    </row>
    <row r="187" spans="1:9">
      <c r="A187" s="10"/>
      <c r="B187" s="298" t="s">
        <v>26</v>
      </c>
      <c r="C187" s="10" t="s">
        <v>121</v>
      </c>
      <c r="D187" s="10"/>
      <c r="E187" s="10"/>
      <c r="F187" s="10"/>
      <c r="G187" s="10"/>
      <c r="H187" s="10"/>
      <c r="I187" s="10"/>
    </row>
    <row r="188" spans="1:9" ht="31.5" customHeight="1">
      <c r="A188" s="10"/>
      <c r="B188" s="10"/>
      <c r="C188" s="276"/>
      <c r="D188" s="276"/>
      <c r="E188" s="276"/>
      <c r="F188" s="276"/>
      <c r="G188" s="10"/>
      <c r="H188" s="10"/>
      <c r="I188" s="10"/>
    </row>
  </sheetData>
  <mergeCells count="3">
    <mergeCell ref="C1:F1"/>
    <mergeCell ref="C10:F10"/>
    <mergeCell ref="C188:F188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eelarve täitmine</vt:lpstr>
      <vt:lpstr>investeeringud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</dc:creator>
  <cp:lastModifiedBy>Indrek_K</cp:lastModifiedBy>
  <cp:lastPrinted>2014-02-04T14:27:16Z</cp:lastPrinted>
  <dcterms:created xsi:type="dcterms:W3CDTF">2013-03-08T08:44:07Z</dcterms:created>
  <dcterms:modified xsi:type="dcterms:W3CDTF">2014-02-04T14:27:59Z</dcterms:modified>
</cp:coreProperties>
</file>